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1520" windowHeight="7370" firstSheet="1" activeTab="1"/>
  </bookViews>
  <sheets>
    <sheet name="Reduced CSL " sheetId="14" state="hidden" r:id="rId1"/>
    <sheet name="Summary" sheetId="19" r:id="rId2"/>
    <sheet name="2024" sheetId="15" r:id="rId3"/>
    <sheet name="2019-20 hull separately" sheetId="13" state="hidden" r:id="rId4"/>
    <sheet name="2019-20" sheetId="2" state="hidden" r:id="rId5"/>
    <sheet name="Sheet3" sheetId="3" state="hidden" r:id="rId6"/>
    <sheet name="Sheet1" sheetId="4" state="hidden" r:id="rId7"/>
    <sheet name="Annexures" sheetId="5" r:id="rId8"/>
    <sheet name="Buildings" sheetId="6" r:id="rId9"/>
    <sheet name="Marine Dept" sheetId="7" state="hidden" r:id="rId10"/>
    <sheet name="EDP" sheetId="9" state="hidden" r:id="rId11"/>
    <sheet name="Mechanical" sheetId="10" state="hidden" r:id="rId12"/>
    <sheet name="2018-19" sheetId="11" state="hidden" r:id="rId13"/>
    <sheet name="2018-19 ANNEXURES" sheetId="12" state="hidden" r:id="rId14"/>
    <sheet name="Business interuption" sheetId="17" state="hidden" r:id="rId15"/>
    <sheet name="Sheet2" sheetId="16" state="hidden" r:id="rId16"/>
    <sheet name="Changes made" sheetId="18" r:id="rId17"/>
  </sheets>
  <externalReferences>
    <externalReference r:id="rId18"/>
    <externalReference r:id="rId19"/>
    <externalReference r:id="rId20"/>
    <externalReference r:id="rId21"/>
    <externalReference r:id="rId22"/>
    <externalReference r:id="rId23"/>
    <externalReference r:id="rId24"/>
  </externalReferences>
  <definedNames>
    <definedName name="_xlnm._FilterDatabase" localSheetId="4" hidden="1">'2019-20'!$B$4:$T$119</definedName>
    <definedName name="_xlnm._FilterDatabase" localSheetId="7" hidden="1">Annexures!$A$2:$A$232</definedName>
    <definedName name="_xlnm._FilterDatabase" localSheetId="5" hidden="1">Sheet3!$A$1:$P$114</definedName>
    <definedName name="_xlnm.Print_Area" localSheetId="4">'2019-20'!$B$26:$F$67</definedName>
    <definedName name="_xlnm.Print_Area" localSheetId="2">'2024'!$B$1:$S$114</definedName>
    <definedName name="_xlnm.Print_Area" localSheetId="6">Sheet1!$B$2:$H$25</definedName>
    <definedName name="_xlnm.Print_Titles" localSheetId="4">'2019-20'!$4:$4</definedName>
  </definedNames>
  <calcPr calcId="162913"/>
</workbook>
</file>

<file path=xl/calcChain.xml><?xml version="1.0" encoding="utf-8"?>
<calcChain xmlns="http://schemas.openxmlformats.org/spreadsheetml/2006/main">
  <c r="F18" i="18" l="1"/>
  <c r="J19" i="15" l="1"/>
  <c r="I19" i="15"/>
  <c r="F16" i="18"/>
  <c r="F12" i="18"/>
  <c r="F7" i="18"/>
  <c r="F5" i="18"/>
  <c r="K48" i="15" l="1"/>
  <c r="K83" i="15"/>
  <c r="N84" i="15" l="1"/>
  <c r="I84" i="15"/>
  <c r="B6" i="19" s="1"/>
  <c r="H84" i="15"/>
  <c r="G84" i="15"/>
  <c r="F84" i="15"/>
  <c r="N66" i="15" l="1"/>
  <c r="L66" i="15"/>
  <c r="F66" i="15"/>
  <c r="D22" i="5" l="1"/>
  <c r="H22" i="5"/>
  <c r="F27" i="18" l="1"/>
  <c r="F28" i="18" s="1"/>
  <c r="F14" i="18"/>
  <c r="K86" i="15"/>
  <c r="K82" i="15"/>
  <c r="I114" i="15" l="1"/>
  <c r="J87" i="15" l="1"/>
  <c r="K64" i="15"/>
  <c r="K87" i="15" l="1"/>
  <c r="K81" i="15"/>
  <c r="K80" i="15"/>
  <c r="K79" i="15"/>
  <c r="K63" i="15"/>
  <c r="K62" i="15"/>
  <c r="K65" i="15"/>
  <c r="K61" i="15"/>
  <c r="K47" i="15"/>
  <c r="K46" i="15"/>
  <c r="K19" i="15"/>
  <c r="K13" i="15"/>
  <c r="K10" i="15"/>
  <c r="D35" i="17"/>
  <c r="E35" i="17"/>
  <c r="G14" i="17"/>
  <c r="G15" i="16"/>
  <c r="G27" i="16"/>
  <c r="J35" i="16"/>
  <c r="J37" i="16" s="1"/>
  <c r="I38" i="16"/>
  <c r="E42" i="16"/>
  <c r="E44" i="16" s="1"/>
  <c r="D42" i="16"/>
  <c r="D44" i="16" s="1"/>
  <c r="E32" i="16"/>
  <c r="D32" i="16"/>
  <c r="E27" i="16"/>
  <c r="D27" i="16"/>
  <c r="E15" i="16"/>
  <c r="D15" i="16"/>
  <c r="E7" i="17"/>
  <c r="E6" i="17"/>
  <c r="E19" i="17"/>
  <c r="D19" i="17"/>
  <c r="D7" i="17"/>
  <c r="D6" i="17"/>
  <c r="L101" i="15"/>
  <c r="M101" i="15" s="1"/>
  <c r="O101" i="15" s="1"/>
  <c r="I101" i="15"/>
  <c r="H101" i="15"/>
  <c r="G101" i="15"/>
  <c r="M100" i="15"/>
  <c r="O100" i="15" s="1"/>
  <c r="I100" i="15"/>
  <c r="H100" i="15"/>
  <c r="G100" i="15"/>
  <c r="M98" i="15"/>
  <c r="O98" i="15" s="1"/>
  <c r="I98" i="15"/>
  <c r="H98" i="15"/>
  <c r="G98" i="15"/>
  <c r="M97" i="15"/>
  <c r="O97" i="15" s="1"/>
  <c r="M95" i="15"/>
  <c r="O95" i="15" s="1"/>
  <c r="J95" i="15"/>
  <c r="K95" i="15" s="1"/>
  <c r="H95" i="15"/>
  <c r="G95" i="15"/>
  <c r="I87" i="15"/>
  <c r="B7" i="19" s="1"/>
  <c r="F87" i="15"/>
  <c r="O86" i="15"/>
  <c r="J78" i="15"/>
  <c r="K78" i="15" s="1"/>
  <c r="L78" i="15" s="1"/>
  <c r="L84" i="15" s="1"/>
  <c r="M77" i="15"/>
  <c r="O77" i="15" s="1"/>
  <c r="M76" i="15"/>
  <c r="O76" i="15" s="1"/>
  <c r="M75" i="15"/>
  <c r="O75" i="15" s="1"/>
  <c r="M74" i="15"/>
  <c r="O74" i="15" s="1"/>
  <c r="M73" i="15"/>
  <c r="O73" i="15" s="1"/>
  <c r="M71" i="15"/>
  <c r="O71" i="15" s="1"/>
  <c r="M69" i="15"/>
  <c r="M84" i="15" s="1"/>
  <c r="M60" i="15"/>
  <c r="O60" i="15" s="1"/>
  <c r="I60" i="15"/>
  <c r="M59" i="15"/>
  <c r="O59" i="15" s="1"/>
  <c r="M58" i="15"/>
  <c r="O58" i="15" s="1"/>
  <c r="I58" i="15"/>
  <c r="H58" i="15"/>
  <c r="G58" i="15"/>
  <c r="M57" i="15"/>
  <c r="O57" i="15" s="1"/>
  <c r="I57" i="15"/>
  <c r="H57" i="15"/>
  <c r="G57" i="15"/>
  <c r="M56" i="15"/>
  <c r="I56" i="15"/>
  <c r="H56" i="15"/>
  <c r="G56" i="15"/>
  <c r="O55" i="15"/>
  <c r="I55" i="15"/>
  <c r="G55" i="15"/>
  <c r="O54" i="15"/>
  <c r="O53" i="15"/>
  <c r="I53" i="15"/>
  <c r="H53" i="15"/>
  <c r="G53" i="15"/>
  <c r="O52" i="15"/>
  <c r="O51" i="15"/>
  <c r="I51" i="15"/>
  <c r="H51" i="15"/>
  <c r="G51" i="15"/>
  <c r="F49" i="15"/>
  <c r="N46" i="15"/>
  <c r="N49" i="15" s="1"/>
  <c r="L46" i="15"/>
  <c r="L49" i="15" s="1"/>
  <c r="I45" i="15"/>
  <c r="M44" i="15"/>
  <c r="O44" i="15" s="1"/>
  <c r="H44" i="15"/>
  <c r="G44" i="15"/>
  <c r="M43" i="15"/>
  <c r="O43" i="15" s="1"/>
  <c r="M42" i="15"/>
  <c r="O42" i="15" s="1"/>
  <c r="M41" i="15"/>
  <c r="O41" i="15" s="1"/>
  <c r="M39" i="15"/>
  <c r="O39" i="15" s="1"/>
  <c r="M38" i="15"/>
  <c r="O38" i="15" s="1"/>
  <c r="M37" i="15"/>
  <c r="O37" i="15" s="1"/>
  <c r="M36" i="15"/>
  <c r="O36" i="15" s="1"/>
  <c r="M34" i="15"/>
  <c r="O34" i="15" s="1"/>
  <c r="M33" i="15"/>
  <c r="O33" i="15" s="1"/>
  <c r="J33" i="15"/>
  <c r="I33" i="15"/>
  <c r="H33" i="15"/>
  <c r="G33" i="15"/>
  <c r="M32" i="15"/>
  <c r="O32" i="15" s="1"/>
  <c r="J32" i="15"/>
  <c r="I32" i="15"/>
  <c r="H32" i="15"/>
  <c r="G32" i="15"/>
  <c r="M28" i="15"/>
  <c r="O28" i="15" s="1"/>
  <c r="H28" i="15"/>
  <c r="G28" i="15"/>
  <c r="H27" i="15"/>
  <c r="G27" i="15"/>
  <c r="H26" i="15"/>
  <c r="G26" i="15"/>
  <c r="M24" i="15"/>
  <c r="O24" i="15" s="1"/>
  <c r="H24" i="15"/>
  <c r="G24" i="15"/>
  <c r="M23" i="15"/>
  <c r="O23" i="15" s="1"/>
  <c r="H23" i="15"/>
  <c r="G23" i="15"/>
  <c r="O22" i="15"/>
  <c r="H22" i="15"/>
  <c r="G22" i="15"/>
  <c r="M19" i="15"/>
  <c r="O19" i="15" s="1"/>
  <c r="F16" i="15"/>
  <c r="M15" i="15"/>
  <c r="O15" i="15" s="1"/>
  <c r="G15" i="15"/>
  <c r="M14" i="15"/>
  <c r="O14" i="15" s="1"/>
  <c r="I14" i="15"/>
  <c r="H14" i="15"/>
  <c r="G14" i="15"/>
  <c r="M13" i="15"/>
  <c r="O13" i="15" s="1"/>
  <c r="M12" i="15"/>
  <c r="O12" i="15" s="1"/>
  <c r="I12" i="15"/>
  <c r="H12" i="15"/>
  <c r="G12" i="15"/>
  <c r="M11" i="15"/>
  <c r="O11" i="15" s="1"/>
  <c r="M9" i="15"/>
  <c r="O9" i="15" s="1"/>
  <c r="T125" i="14"/>
  <c r="T123" i="14"/>
  <c r="S124" i="14"/>
  <c r="S121" i="14"/>
  <c r="R70" i="14"/>
  <c r="R16" i="14"/>
  <c r="I54" i="14"/>
  <c r="I55" i="14"/>
  <c r="I57" i="14"/>
  <c r="I59" i="14"/>
  <c r="I60" i="14"/>
  <c r="I61" i="14"/>
  <c r="I62" i="14"/>
  <c r="I64" i="14"/>
  <c r="R134" i="14"/>
  <c r="R129" i="14"/>
  <c r="U8" i="14"/>
  <c r="L135" i="14"/>
  <c r="I135" i="14"/>
  <c r="H135" i="14"/>
  <c r="G135" i="14"/>
  <c r="M134" i="14"/>
  <c r="O134" i="14" s="1"/>
  <c r="I134" i="14"/>
  <c r="H134" i="14"/>
  <c r="G134" i="14"/>
  <c r="M132" i="14"/>
  <c r="O132" i="14"/>
  <c r="I132" i="14"/>
  <c r="R132" i="14" s="1"/>
  <c r="H132" i="14"/>
  <c r="G132" i="14"/>
  <c r="M131" i="14"/>
  <c r="O131" i="14"/>
  <c r="M129" i="14"/>
  <c r="O129" i="14"/>
  <c r="H129" i="14"/>
  <c r="G129" i="14"/>
  <c r="S125" i="14"/>
  <c r="U125" i="14" s="1"/>
  <c r="S123" i="14"/>
  <c r="R115" i="14"/>
  <c r="K115" i="14"/>
  <c r="I115" i="14"/>
  <c r="F115" i="14"/>
  <c r="O113" i="14"/>
  <c r="Q110" i="14"/>
  <c r="P110" i="14"/>
  <c r="N110" i="14"/>
  <c r="J109" i="14"/>
  <c r="G109" i="14"/>
  <c r="M108" i="14"/>
  <c r="O108" i="14" s="1"/>
  <c r="I108" i="14"/>
  <c r="R108" i="14" s="1"/>
  <c r="M107" i="14"/>
  <c r="I107" i="14"/>
  <c r="R107" i="14" s="1"/>
  <c r="M106" i="14"/>
  <c r="O106" i="14" s="1"/>
  <c r="I106" i="14"/>
  <c r="R106" i="14" s="1"/>
  <c r="M105" i="14"/>
  <c r="O105" i="14" s="1"/>
  <c r="I105" i="14"/>
  <c r="R105" i="14" s="1"/>
  <c r="M103" i="14"/>
  <c r="O103" i="14" s="1"/>
  <c r="I103" i="14"/>
  <c r="R103" i="14" s="1"/>
  <c r="M102" i="14"/>
  <c r="O102" i="14"/>
  <c r="I102" i="14"/>
  <c r="R102" i="14" s="1"/>
  <c r="M101" i="14"/>
  <c r="O101" i="14"/>
  <c r="I101" i="14"/>
  <c r="R101" i="14"/>
  <c r="M100" i="14"/>
  <c r="O100" i="14" s="1"/>
  <c r="I100" i="14"/>
  <c r="R100" i="14" s="1"/>
  <c r="M99" i="14"/>
  <c r="O99" i="14"/>
  <c r="I99" i="14"/>
  <c r="R99" i="14" s="1"/>
  <c r="M97" i="14"/>
  <c r="O97" i="14" s="1"/>
  <c r="I97" i="14"/>
  <c r="R97" i="14" s="1"/>
  <c r="M95" i="14"/>
  <c r="O95" i="14" s="1"/>
  <c r="M94" i="14"/>
  <c r="O94" i="14" s="1"/>
  <c r="F94" i="14"/>
  <c r="F110" i="14" s="1"/>
  <c r="F117" i="14" s="1"/>
  <c r="M93" i="14"/>
  <c r="O93" i="14" s="1"/>
  <c r="I93" i="14"/>
  <c r="R93" i="14" s="1"/>
  <c r="H93" i="14"/>
  <c r="H110" i="14" s="1"/>
  <c r="G93" i="14"/>
  <c r="F93" i="14"/>
  <c r="M91" i="14"/>
  <c r="O91" i="14" s="1"/>
  <c r="M90" i="14"/>
  <c r="O90" i="14" s="1"/>
  <c r="I90" i="14"/>
  <c r="R90" i="14" s="1"/>
  <c r="M89" i="14"/>
  <c r="O89" i="14"/>
  <c r="M88" i="14"/>
  <c r="O88" i="14" s="1"/>
  <c r="I88" i="14"/>
  <c r="R88" i="14" s="1"/>
  <c r="R87" i="14"/>
  <c r="M86" i="14"/>
  <c r="O86" i="14" s="1"/>
  <c r="I86" i="14"/>
  <c r="M85" i="14"/>
  <c r="O85" i="14" s="1"/>
  <c r="I85" i="14"/>
  <c r="R85" i="14" s="1"/>
  <c r="M84" i="14"/>
  <c r="O84" i="14" s="1"/>
  <c r="I84" i="14"/>
  <c r="R84" i="14" s="1"/>
  <c r="M83" i="14"/>
  <c r="O83" i="14"/>
  <c r="I83" i="14"/>
  <c r="R83" i="14" s="1"/>
  <c r="M82" i="14"/>
  <c r="O82" i="14" s="1"/>
  <c r="I82" i="14"/>
  <c r="R82" i="14" s="1"/>
  <c r="M81" i="14"/>
  <c r="O81" i="14" s="1"/>
  <c r="M80" i="14"/>
  <c r="O80" i="14" s="1"/>
  <c r="I80" i="14"/>
  <c r="M79" i="14"/>
  <c r="O79" i="14" s="1"/>
  <c r="I79" i="14"/>
  <c r="M78" i="14"/>
  <c r="O78" i="14"/>
  <c r="F78" i="14"/>
  <c r="O77" i="14"/>
  <c r="M77" i="14"/>
  <c r="I77" i="14"/>
  <c r="R77" i="14" s="1"/>
  <c r="M76" i="14"/>
  <c r="O76" i="14" s="1"/>
  <c r="I76" i="14"/>
  <c r="R76" i="14" s="1"/>
  <c r="M75" i="14"/>
  <c r="O75" i="14" s="1"/>
  <c r="I75" i="14"/>
  <c r="R75" i="14" s="1"/>
  <c r="M74" i="14"/>
  <c r="O74" i="14" s="1"/>
  <c r="F74" i="14"/>
  <c r="Q70" i="14"/>
  <c r="P70" i="14"/>
  <c r="N70" i="14"/>
  <c r="L70" i="14"/>
  <c r="F70" i="14"/>
  <c r="J68" i="14"/>
  <c r="M64" i="14"/>
  <c r="O64" i="14" s="1"/>
  <c r="M63" i="14"/>
  <c r="O63" i="14" s="1"/>
  <c r="M62" i="14"/>
  <c r="M70" i="14" s="1"/>
  <c r="H62" i="14"/>
  <c r="G62" i="14"/>
  <c r="M61" i="14"/>
  <c r="O61" i="14"/>
  <c r="H61" i="14"/>
  <c r="G61" i="14"/>
  <c r="M60" i="14"/>
  <c r="H60" i="14"/>
  <c r="G60" i="14"/>
  <c r="O59" i="14"/>
  <c r="G59" i="14"/>
  <c r="O58" i="14"/>
  <c r="O57" i="14"/>
  <c r="H57" i="14"/>
  <c r="G57" i="14"/>
  <c r="O56" i="14"/>
  <c r="O55" i="14"/>
  <c r="H55" i="14"/>
  <c r="G55" i="14"/>
  <c r="O54" i="14"/>
  <c r="F50" i="14"/>
  <c r="Q49" i="14"/>
  <c r="Q50" i="14" s="1"/>
  <c r="P49" i="14"/>
  <c r="P50" i="14" s="1"/>
  <c r="N49" i="14"/>
  <c r="N50" i="14" s="1"/>
  <c r="L49" i="14"/>
  <c r="L50" i="14" s="1"/>
  <c r="I48" i="14"/>
  <c r="M47" i="14"/>
  <c r="O47" i="14"/>
  <c r="H47" i="14"/>
  <c r="G47" i="14"/>
  <c r="M46" i="14"/>
  <c r="O46" i="14" s="1"/>
  <c r="M45" i="14"/>
  <c r="O45" i="14" s="1"/>
  <c r="H45" i="14"/>
  <c r="G45" i="14"/>
  <c r="M44" i="14"/>
  <c r="O44" i="14" s="1"/>
  <c r="M43" i="14"/>
  <c r="O43" i="14"/>
  <c r="M42" i="14"/>
  <c r="O42" i="14" s="1"/>
  <c r="M40" i="14"/>
  <c r="O40" i="14" s="1"/>
  <c r="M39" i="14"/>
  <c r="O39" i="14" s="1"/>
  <c r="M38" i="14"/>
  <c r="O38" i="14" s="1"/>
  <c r="M37" i="14"/>
  <c r="O37" i="14" s="1"/>
  <c r="M35" i="14"/>
  <c r="O35" i="14"/>
  <c r="M34" i="14"/>
  <c r="O34" i="14" s="1"/>
  <c r="K34" i="14"/>
  <c r="J34" i="14"/>
  <c r="I34" i="14"/>
  <c r="H34" i="14"/>
  <c r="G34" i="14"/>
  <c r="M33" i="14"/>
  <c r="O33" i="14" s="1"/>
  <c r="K33" i="14"/>
  <c r="J33" i="14"/>
  <c r="I33" i="14"/>
  <c r="H33" i="14"/>
  <c r="G33" i="14"/>
  <c r="M29" i="14"/>
  <c r="O29" i="14" s="1"/>
  <c r="H29" i="14"/>
  <c r="G29" i="14"/>
  <c r="H28" i="14"/>
  <c r="G28" i="14"/>
  <c r="H27" i="14"/>
  <c r="G27" i="14"/>
  <c r="M25" i="14"/>
  <c r="O25" i="14" s="1"/>
  <c r="H25" i="14"/>
  <c r="G25" i="14"/>
  <c r="O24" i="14"/>
  <c r="M24" i="14"/>
  <c r="H24" i="14"/>
  <c r="G24" i="14"/>
  <c r="O23" i="14"/>
  <c r="H23" i="14"/>
  <c r="G23" i="14"/>
  <c r="M20" i="14"/>
  <c r="O20" i="14" s="1"/>
  <c r="F16" i="14"/>
  <c r="M13" i="14"/>
  <c r="O13" i="14" s="1"/>
  <c r="G13" i="14"/>
  <c r="M12" i="14"/>
  <c r="O12" i="14" s="1"/>
  <c r="I12" i="14"/>
  <c r="H12" i="14"/>
  <c r="G12" i="14"/>
  <c r="M11" i="14"/>
  <c r="O11" i="14" s="1"/>
  <c r="H11" i="14"/>
  <c r="G11" i="14"/>
  <c r="M10" i="14"/>
  <c r="O10" i="14" s="1"/>
  <c r="M9" i="14"/>
  <c r="O9" i="14" s="1"/>
  <c r="I9" i="14"/>
  <c r="H9" i="14"/>
  <c r="G9" i="14"/>
  <c r="M8" i="14"/>
  <c r="O8" i="14" s="1"/>
  <c r="M7" i="14"/>
  <c r="O7" i="14" s="1"/>
  <c r="S125" i="13"/>
  <c r="S122" i="13"/>
  <c r="S124" i="13"/>
  <c r="R114" i="13"/>
  <c r="K114" i="13"/>
  <c r="I114" i="13"/>
  <c r="F114" i="13"/>
  <c r="O112" i="13"/>
  <c r="Q109" i="13"/>
  <c r="P109" i="13"/>
  <c r="N109" i="13"/>
  <c r="J108" i="13"/>
  <c r="G108" i="13"/>
  <c r="M107" i="13"/>
  <c r="O107" i="13" s="1"/>
  <c r="I107" i="13"/>
  <c r="R107" i="13" s="1"/>
  <c r="M106" i="13"/>
  <c r="O106" i="13" s="1"/>
  <c r="I106" i="13"/>
  <c r="R106" i="13" s="1"/>
  <c r="M105" i="13"/>
  <c r="I105" i="13"/>
  <c r="R105" i="13" s="1"/>
  <c r="M104" i="13"/>
  <c r="O104" i="13" s="1"/>
  <c r="I104" i="13"/>
  <c r="R104" i="13" s="1"/>
  <c r="M102" i="13"/>
  <c r="O102" i="13" s="1"/>
  <c r="I102" i="13"/>
  <c r="R102" i="13" s="1"/>
  <c r="M101" i="13"/>
  <c r="O101" i="13" s="1"/>
  <c r="I101" i="13"/>
  <c r="R101" i="13" s="1"/>
  <c r="M100" i="13"/>
  <c r="O100" i="13" s="1"/>
  <c r="I100" i="13"/>
  <c r="R100" i="13" s="1"/>
  <c r="M99" i="13"/>
  <c r="O99" i="13" s="1"/>
  <c r="I99" i="13"/>
  <c r="R99" i="13" s="1"/>
  <c r="M98" i="13"/>
  <c r="O98" i="13" s="1"/>
  <c r="I98" i="13"/>
  <c r="R98" i="13" s="1"/>
  <c r="M96" i="13"/>
  <c r="O96" i="13" s="1"/>
  <c r="I96" i="13"/>
  <c r="R96" i="13" s="1"/>
  <c r="M94" i="13"/>
  <c r="O94" i="13" s="1"/>
  <c r="M93" i="13"/>
  <c r="O93" i="13" s="1"/>
  <c r="F93" i="13"/>
  <c r="M92" i="13"/>
  <c r="O92" i="13"/>
  <c r="I92" i="13"/>
  <c r="R92" i="13" s="1"/>
  <c r="H92" i="13"/>
  <c r="H109" i="13"/>
  <c r="G92" i="13"/>
  <c r="G109" i="13"/>
  <c r="F92" i="13"/>
  <c r="M90" i="13"/>
  <c r="O90" i="13"/>
  <c r="M89" i="13"/>
  <c r="O89" i="13" s="1"/>
  <c r="I89" i="13"/>
  <c r="R89" i="13" s="1"/>
  <c r="M88" i="13"/>
  <c r="O88" i="13" s="1"/>
  <c r="M87" i="13"/>
  <c r="O87" i="13"/>
  <c r="I87" i="13"/>
  <c r="R87" i="13" s="1"/>
  <c r="R86" i="13"/>
  <c r="M85" i="13"/>
  <c r="O85" i="13" s="1"/>
  <c r="I85" i="13"/>
  <c r="M84" i="13"/>
  <c r="O84" i="13" s="1"/>
  <c r="I84" i="13"/>
  <c r="R84" i="13" s="1"/>
  <c r="M83" i="13"/>
  <c r="O83" i="13" s="1"/>
  <c r="I83" i="13"/>
  <c r="R83" i="13"/>
  <c r="M82" i="13"/>
  <c r="O82" i="13" s="1"/>
  <c r="I82" i="13"/>
  <c r="R82" i="13" s="1"/>
  <c r="M81" i="13"/>
  <c r="O81" i="13" s="1"/>
  <c r="I81" i="13"/>
  <c r="J81" i="13" s="1"/>
  <c r="M80" i="13"/>
  <c r="O80" i="13" s="1"/>
  <c r="M79" i="13"/>
  <c r="O79" i="13" s="1"/>
  <c r="I79" i="13"/>
  <c r="M78" i="13"/>
  <c r="O78" i="13" s="1"/>
  <c r="I78" i="13"/>
  <c r="M77" i="13"/>
  <c r="O77" i="13" s="1"/>
  <c r="F77" i="13"/>
  <c r="M76" i="13"/>
  <c r="O76" i="13" s="1"/>
  <c r="I76" i="13"/>
  <c r="R76" i="13" s="1"/>
  <c r="M75" i="13"/>
  <c r="O75" i="13" s="1"/>
  <c r="I75" i="13"/>
  <c r="R75" i="13" s="1"/>
  <c r="M74" i="13"/>
  <c r="O74" i="13" s="1"/>
  <c r="I74" i="13"/>
  <c r="R74" i="13"/>
  <c r="M73" i="13"/>
  <c r="O73" i="13" s="1"/>
  <c r="F73" i="13"/>
  <c r="R69" i="13"/>
  <c r="Q69" i="13"/>
  <c r="P69" i="13"/>
  <c r="N69" i="13"/>
  <c r="L69" i="13"/>
  <c r="F69" i="13"/>
  <c r="J67" i="13"/>
  <c r="M64" i="13"/>
  <c r="O64" i="13"/>
  <c r="I64" i="13"/>
  <c r="M63" i="13"/>
  <c r="O63" i="13"/>
  <c r="M62" i="13"/>
  <c r="O62" i="13"/>
  <c r="I62" i="13"/>
  <c r="H62" i="13"/>
  <c r="G62" i="13"/>
  <c r="M61" i="13"/>
  <c r="O61" i="13" s="1"/>
  <c r="I61" i="13"/>
  <c r="H61" i="13"/>
  <c r="G61" i="13"/>
  <c r="M60" i="13"/>
  <c r="O60" i="13" s="1"/>
  <c r="I60" i="13"/>
  <c r="H60" i="13"/>
  <c r="G60" i="13"/>
  <c r="O59" i="13"/>
  <c r="I59" i="13"/>
  <c r="G59" i="13"/>
  <c r="O58" i="13"/>
  <c r="O57" i="13"/>
  <c r="I57" i="13"/>
  <c r="H57" i="13"/>
  <c r="G57" i="13"/>
  <c r="O56" i="13"/>
  <c r="O55" i="13"/>
  <c r="I55" i="13"/>
  <c r="H55" i="13"/>
  <c r="G55" i="13"/>
  <c r="O54" i="13"/>
  <c r="I54" i="13"/>
  <c r="F50" i="13"/>
  <c r="Q49" i="13"/>
  <c r="Q50" i="13" s="1"/>
  <c r="P49" i="13"/>
  <c r="P50" i="13" s="1"/>
  <c r="N49" i="13"/>
  <c r="N50" i="13"/>
  <c r="L49" i="13"/>
  <c r="L50" i="13" s="1"/>
  <c r="I48" i="13"/>
  <c r="R48" i="13" s="1"/>
  <c r="M47" i="13"/>
  <c r="O47" i="13"/>
  <c r="H47" i="13"/>
  <c r="G47" i="13"/>
  <c r="M46" i="13"/>
  <c r="O46" i="13" s="1"/>
  <c r="M45" i="13"/>
  <c r="O45" i="13" s="1"/>
  <c r="H45" i="13"/>
  <c r="G45" i="13"/>
  <c r="M44" i="13"/>
  <c r="O44" i="13" s="1"/>
  <c r="M43" i="13"/>
  <c r="O43" i="13"/>
  <c r="M42" i="13"/>
  <c r="O42" i="13" s="1"/>
  <c r="M40" i="13"/>
  <c r="O40" i="13" s="1"/>
  <c r="M39" i="13"/>
  <c r="O39" i="13" s="1"/>
  <c r="M38" i="13"/>
  <c r="O38" i="13" s="1"/>
  <c r="M37" i="13"/>
  <c r="O37" i="13" s="1"/>
  <c r="M35" i="13"/>
  <c r="O35" i="13" s="1"/>
  <c r="M34" i="13"/>
  <c r="O34" i="13" s="1"/>
  <c r="K34" i="13"/>
  <c r="J34" i="13"/>
  <c r="I34" i="13"/>
  <c r="H34" i="13"/>
  <c r="G34" i="13"/>
  <c r="M33" i="13"/>
  <c r="O33" i="13" s="1"/>
  <c r="K33" i="13"/>
  <c r="J33" i="13"/>
  <c r="I33" i="13"/>
  <c r="R33" i="13" s="1"/>
  <c r="H33" i="13"/>
  <c r="G33" i="13"/>
  <c r="M29" i="13"/>
  <c r="O29" i="13" s="1"/>
  <c r="H29" i="13"/>
  <c r="G29" i="13"/>
  <c r="H28" i="13"/>
  <c r="G28" i="13"/>
  <c r="H27" i="13"/>
  <c r="G27" i="13"/>
  <c r="M25" i="13"/>
  <c r="O25" i="13" s="1"/>
  <c r="H25" i="13"/>
  <c r="G25" i="13"/>
  <c r="M24" i="13"/>
  <c r="O24" i="13" s="1"/>
  <c r="H24" i="13"/>
  <c r="G24" i="13"/>
  <c r="O23" i="13"/>
  <c r="H23" i="13"/>
  <c r="G23" i="13"/>
  <c r="M20" i="13"/>
  <c r="O20" i="13" s="1"/>
  <c r="F16" i="13"/>
  <c r="R134" i="13"/>
  <c r="L134" i="13"/>
  <c r="M134" i="13" s="1"/>
  <c r="I134" i="13"/>
  <c r="H134" i="13"/>
  <c r="G134" i="13"/>
  <c r="R133" i="13"/>
  <c r="M133" i="13"/>
  <c r="O133" i="13" s="1"/>
  <c r="I133" i="13"/>
  <c r="H133" i="13"/>
  <c r="G133" i="13"/>
  <c r="R131" i="13"/>
  <c r="M131" i="13"/>
  <c r="O131" i="13" s="1"/>
  <c r="I131" i="13"/>
  <c r="H131" i="13"/>
  <c r="G131" i="13"/>
  <c r="R130" i="13"/>
  <c r="M130" i="13"/>
  <c r="O130" i="13"/>
  <c r="R13" i="13"/>
  <c r="M13" i="13"/>
  <c r="O13" i="13"/>
  <c r="G13" i="13"/>
  <c r="R12" i="13"/>
  <c r="M12" i="13"/>
  <c r="O12" i="13" s="1"/>
  <c r="I12" i="13"/>
  <c r="H12" i="13"/>
  <c r="G12" i="13"/>
  <c r="R11" i="13"/>
  <c r="M11" i="13"/>
  <c r="O11" i="13" s="1"/>
  <c r="I11" i="13"/>
  <c r="H11" i="13"/>
  <c r="G11" i="13"/>
  <c r="M10" i="13"/>
  <c r="O10" i="13"/>
  <c r="R9" i="13"/>
  <c r="M9" i="13"/>
  <c r="O9" i="13" s="1"/>
  <c r="I9" i="13"/>
  <c r="H9" i="13"/>
  <c r="G9" i="13"/>
  <c r="R8" i="13"/>
  <c r="M8" i="13"/>
  <c r="O8" i="13"/>
  <c r="R7" i="13"/>
  <c r="M7" i="13"/>
  <c r="O7" i="13"/>
  <c r="R128" i="13"/>
  <c r="M128" i="13"/>
  <c r="I128" i="13"/>
  <c r="J128" i="13" s="1"/>
  <c r="K128" i="13" s="1"/>
  <c r="H128" i="13"/>
  <c r="G128" i="13"/>
  <c r="J129" i="14"/>
  <c r="R86" i="14"/>
  <c r="O60" i="14"/>
  <c r="J76" i="14"/>
  <c r="J7" i="14"/>
  <c r="O128" i="13"/>
  <c r="R85" i="13"/>
  <c r="L210" i="12"/>
  <c r="H210" i="12"/>
  <c r="N203" i="12"/>
  <c r="M203" i="12"/>
  <c r="K203" i="12"/>
  <c r="J203" i="12"/>
  <c r="I203" i="12"/>
  <c r="G203" i="12"/>
  <c r="F203" i="12"/>
  <c r="E203" i="12"/>
  <c r="D203" i="12"/>
  <c r="L202" i="12"/>
  <c r="H202" i="12"/>
  <c r="L201" i="12"/>
  <c r="H201" i="12"/>
  <c r="L200" i="12"/>
  <c r="H200" i="12"/>
  <c r="N197" i="12"/>
  <c r="M197" i="12"/>
  <c r="L197" i="12"/>
  <c r="K197" i="12"/>
  <c r="J197" i="12"/>
  <c r="I197" i="12"/>
  <c r="H197" i="12"/>
  <c r="G197" i="12"/>
  <c r="F197" i="12"/>
  <c r="E197" i="12"/>
  <c r="D197" i="12"/>
  <c r="Q192" i="12"/>
  <c r="P192" i="12"/>
  <c r="O192" i="12"/>
  <c r="N192" i="12"/>
  <c r="M192" i="12"/>
  <c r="L192" i="12"/>
  <c r="K192" i="12"/>
  <c r="J192" i="12"/>
  <c r="I192" i="12"/>
  <c r="H192" i="12"/>
  <c r="G192" i="12"/>
  <c r="F192" i="12"/>
  <c r="E192" i="12"/>
  <c r="D192" i="12"/>
  <c r="L187" i="12"/>
  <c r="H187" i="12"/>
  <c r="L184" i="12"/>
  <c r="H184" i="12"/>
  <c r="L181" i="12"/>
  <c r="H181" i="12"/>
  <c r="L178" i="12"/>
  <c r="H178" i="12"/>
  <c r="L175" i="12"/>
  <c r="H175" i="12"/>
  <c r="N172" i="12"/>
  <c r="M172" i="12"/>
  <c r="K172" i="12"/>
  <c r="J172" i="12"/>
  <c r="I172" i="12"/>
  <c r="G172" i="12"/>
  <c r="F172" i="12"/>
  <c r="E172" i="12"/>
  <c r="D172" i="12"/>
  <c r="L171" i="12"/>
  <c r="H171" i="12"/>
  <c r="L170" i="12"/>
  <c r="L172" i="12"/>
  <c r="H170" i="12"/>
  <c r="H172" i="12" s="1"/>
  <c r="L167" i="12"/>
  <c r="H167" i="12"/>
  <c r="N164" i="12"/>
  <c r="M164" i="12"/>
  <c r="K164" i="12"/>
  <c r="J164" i="12"/>
  <c r="I164" i="12"/>
  <c r="G164" i="12"/>
  <c r="F164" i="12"/>
  <c r="E164" i="12"/>
  <c r="D164" i="12"/>
  <c r="L163" i="12"/>
  <c r="H163" i="12"/>
  <c r="L162" i="12"/>
  <c r="L164" i="12" s="1"/>
  <c r="H162" i="12"/>
  <c r="H164" i="12" s="1"/>
  <c r="I159" i="12"/>
  <c r="L159" i="12" s="1"/>
  <c r="H159" i="12"/>
  <c r="L156" i="12"/>
  <c r="H156" i="12"/>
  <c r="Q149" i="12"/>
  <c r="P149" i="12"/>
  <c r="O149" i="12"/>
  <c r="N149" i="12"/>
  <c r="M149" i="12"/>
  <c r="L149" i="12"/>
  <c r="K149" i="12"/>
  <c r="J149" i="12"/>
  <c r="I149" i="12"/>
  <c r="H149" i="12"/>
  <c r="G149" i="12"/>
  <c r="F149" i="12"/>
  <c r="E149" i="12"/>
  <c r="D149" i="12"/>
  <c r="Q141" i="12"/>
  <c r="P141" i="12"/>
  <c r="O141" i="12"/>
  <c r="N141" i="12"/>
  <c r="M141" i="12"/>
  <c r="L141" i="12"/>
  <c r="K141" i="12"/>
  <c r="J141" i="12"/>
  <c r="I141" i="12"/>
  <c r="H141" i="12"/>
  <c r="G141" i="12"/>
  <c r="F141" i="12"/>
  <c r="E141" i="12"/>
  <c r="D141" i="12"/>
  <c r="Q133" i="12"/>
  <c r="P133" i="12"/>
  <c r="O133" i="12"/>
  <c r="N133" i="12"/>
  <c r="M133" i="12"/>
  <c r="L133" i="12"/>
  <c r="K133" i="12"/>
  <c r="J133" i="12"/>
  <c r="I133" i="12"/>
  <c r="H133" i="12"/>
  <c r="G133" i="12"/>
  <c r="F133" i="12"/>
  <c r="E133" i="12"/>
  <c r="D133" i="12"/>
  <c r="Q124" i="12"/>
  <c r="P124" i="12"/>
  <c r="O124" i="12"/>
  <c r="N124" i="12"/>
  <c r="M124" i="12"/>
  <c r="L124" i="12"/>
  <c r="K124" i="12"/>
  <c r="J124" i="12"/>
  <c r="I124" i="12"/>
  <c r="H124" i="12"/>
  <c r="G124" i="12"/>
  <c r="F124" i="12"/>
  <c r="E124" i="12"/>
  <c r="D124" i="12"/>
  <c r="N113" i="12"/>
  <c r="M113" i="12"/>
  <c r="K113" i="12"/>
  <c r="J113" i="12"/>
  <c r="I113" i="12"/>
  <c r="G113" i="12"/>
  <c r="F113" i="12"/>
  <c r="E113" i="12"/>
  <c r="D113" i="12"/>
  <c r="L112" i="12"/>
  <c r="H112" i="12"/>
  <c r="L111" i="12"/>
  <c r="L113" i="12" s="1"/>
  <c r="H111" i="12"/>
  <c r="H113" i="12" s="1"/>
  <c r="N107" i="12"/>
  <c r="M107" i="12"/>
  <c r="L107" i="12"/>
  <c r="K107" i="12"/>
  <c r="J107" i="12"/>
  <c r="I107" i="12"/>
  <c r="H107" i="12"/>
  <c r="G107" i="12"/>
  <c r="F107" i="12"/>
  <c r="E107" i="12"/>
  <c r="D107" i="12"/>
  <c r="L95" i="12"/>
  <c r="H95" i="12"/>
  <c r="N92" i="12"/>
  <c r="M92" i="12"/>
  <c r="L92" i="12"/>
  <c r="K92" i="12"/>
  <c r="J92" i="12"/>
  <c r="I92" i="12"/>
  <c r="H92" i="12"/>
  <c r="G92" i="12"/>
  <c r="F92" i="12"/>
  <c r="E92" i="12"/>
  <c r="D92" i="12"/>
  <c r="N85" i="12"/>
  <c r="M85" i="12"/>
  <c r="L85" i="12"/>
  <c r="K85" i="12"/>
  <c r="J85" i="12"/>
  <c r="I85" i="12"/>
  <c r="H85" i="12"/>
  <c r="G85" i="12"/>
  <c r="F85" i="12"/>
  <c r="E85" i="12"/>
  <c r="D85" i="12"/>
  <c r="N78" i="12"/>
  <c r="M78" i="12"/>
  <c r="L78" i="12"/>
  <c r="K78" i="12"/>
  <c r="J78" i="12"/>
  <c r="I78" i="12"/>
  <c r="H78" i="12"/>
  <c r="G78" i="12"/>
  <c r="F78" i="12"/>
  <c r="E78" i="12"/>
  <c r="D78" i="12"/>
  <c r="Q67" i="12"/>
  <c r="P67" i="12"/>
  <c r="O67" i="12"/>
  <c r="N67" i="12"/>
  <c r="M67" i="12"/>
  <c r="L67" i="12"/>
  <c r="K67" i="12"/>
  <c r="J67" i="12"/>
  <c r="I67" i="12"/>
  <c r="H67" i="12"/>
  <c r="G67" i="12"/>
  <c r="F67" i="12"/>
  <c r="E67" i="12"/>
  <c r="D67" i="12"/>
  <c r="Q57" i="12"/>
  <c r="P57" i="12"/>
  <c r="O57" i="12"/>
  <c r="N57" i="12"/>
  <c r="M57" i="12"/>
  <c r="K57" i="12"/>
  <c r="J57" i="12"/>
  <c r="I57" i="12"/>
  <c r="G57" i="12"/>
  <c r="F57" i="12"/>
  <c r="E57" i="12"/>
  <c r="D57" i="12"/>
  <c r="L56" i="12"/>
  <c r="H56" i="12"/>
  <c r="L55" i="12"/>
  <c r="H55" i="12"/>
  <c r="L54" i="12"/>
  <c r="H54" i="12"/>
  <c r="L53" i="12"/>
  <c r="H53" i="12"/>
  <c r="L47" i="12"/>
  <c r="H47" i="12"/>
  <c r="L44" i="12"/>
  <c r="H44" i="12"/>
  <c r="L41" i="12"/>
  <c r="H41" i="12"/>
  <c r="L38" i="12"/>
  <c r="H38" i="12"/>
  <c r="Q35" i="12"/>
  <c r="P35" i="12"/>
  <c r="O35" i="12"/>
  <c r="N35" i="12"/>
  <c r="M35" i="12"/>
  <c r="K35" i="12"/>
  <c r="J35" i="12"/>
  <c r="I35" i="12"/>
  <c r="G35" i="12"/>
  <c r="F35" i="12"/>
  <c r="E35" i="12"/>
  <c r="D35" i="12"/>
  <c r="L34" i="12"/>
  <c r="H34" i="12"/>
  <c r="L33" i="12"/>
  <c r="L35" i="12" s="1"/>
  <c r="H33" i="12"/>
  <c r="H35" i="12" s="1"/>
  <c r="I29" i="12"/>
  <c r="L29" i="12" s="1"/>
  <c r="H29" i="12"/>
  <c r="L26" i="12"/>
  <c r="H26" i="12"/>
  <c r="L23" i="12"/>
  <c r="H23" i="12"/>
  <c r="L20" i="12"/>
  <c r="H20" i="12"/>
  <c r="Q17" i="12"/>
  <c r="P17" i="12"/>
  <c r="O17" i="12"/>
  <c r="N17" i="12"/>
  <c r="M17" i="12"/>
  <c r="L17" i="12"/>
  <c r="K17" i="12"/>
  <c r="J17" i="12"/>
  <c r="I17" i="12"/>
  <c r="H17" i="12"/>
  <c r="G17" i="12"/>
  <c r="F17" i="12"/>
  <c r="E17" i="12"/>
  <c r="D17" i="12"/>
  <c r="Q10" i="12"/>
  <c r="P10" i="12"/>
  <c r="O10" i="12"/>
  <c r="N10" i="12"/>
  <c r="M10" i="12"/>
  <c r="J10" i="12"/>
  <c r="I10" i="12"/>
  <c r="G10" i="12"/>
  <c r="F10" i="12"/>
  <c r="E10" i="12"/>
  <c r="D10" i="12"/>
  <c r="L9" i="12"/>
  <c r="H9" i="12"/>
  <c r="H10" i="12" s="1"/>
  <c r="K8" i="12"/>
  <c r="K10" i="12" s="1"/>
  <c r="H8" i="12"/>
  <c r="L5" i="12"/>
  <c r="H5" i="12"/>
  <c r="N114" i="11"/>
  <c r="O112" i="11"/>
  <c r="M110" i="11"/>
  <c r="O110" i="11" s="1"/>
  <c r="M108" i="11"/>
  <c r="O108" i="11" s="1"/>
  <c r="M107" i="11"/>
  <c r="O107" i="11" s="1"/>
  <c r="M106" i="11"/>
  <c r="O106" i="11" s="1"/>
  <c r="M105" i="11"/>
  <c r="O105" i="11" s="1"/>
  <c r="M103" i="11"/>
  <c r="O103" i="11" s="1"/>
  <c r="M102" i="11"/>
  <c r="O102" i="11" s="1"/>
  <c r="M101" i="11"/>
  <c r="O101" i="11" s="1"/>
  <c r="M100" i="11"/>
  <c r="O100" i="11" s="1"/>
  <c r="M99" i="11"/>
  <c r="O99" i="11" s="1"/>
  <c r="M97" i="11"/>
  <c r="O97" i="11" s="1"/>
  <c r="M95" i="11"/>
  <c r="O95" i="11" s="1"/>
  <c r="M94" i="11"/>
  <c r="O94" i="11" s="1"/>
  <c r="F94" i="11"/>
  <c r="M93" i="11"/>
  <c r="O93" i="11" s="1"/>
  <c r="F93" i="11"/>
  <c r="M91" i="11"/>
  <c r="O91" i="11" s="1"/>
  <c r="M90" i="11"/>
  <c r="O90" i="11" s="1"/>
  <c r="M89" i="11"/>
  <c r="O89" i="11" s="1"/>
  <c r="M88" i="11"/>
  <c r="O88" i="11" s="1"/>
  <c r="M87" i="11"/>
  <c r="O87" i="11" s="1"/>
  <c r="M86" i="11"/>
  <c r="O86" i="11" s="1"/>
  <c r="M85" i="11"/>
  <c r="O85" i="11" s="1"/>
  <c r="M84" i="11"/>
  <c r="O84" i="11" s="1"/>
  <c r="M82" i="11"/>
  <c r="O82" i="11" s="1"/>
  <c r="M81" i="11"/>
  <c r="O81" i="11" s="1"/>
  <c r="M80" i="11"/>
  <c r="O80" i="11" s="1"/>
  <c r="M79" i="11"/>
  <c r="O79" i="11"/>
  <c r="M78" i="11"/>
  <c r="O78" i="11" s="1"/>
  <c r="M77" i="11"/>
  <c r="O77" i="11" s="1"/>
  <c r="M76" i="11"/>
  <c r="O76" i="11" s="1"/>
  <c r="M75" i="11"/>
  <c r="O75" i="11" s="1"/>
  <c r="M74" i="11"/>
  <c r="O74" i="11" s="1"/>
  <c r="F74" i="11"/>
  <c r="M73" i="11"/>
  <c r="O73" i="11" s="1"/>
  <c r="M72" i="11"/>
  <c r="O72" i="11" s="1"/>
  <c r="M71" i="11"/>
  <c r="O71" i="11"/>
  <c r="M70" i="11"/>
  <c r="O70" i="11" s="1"/>
  <c r="F70" i="11"/>
  <c r="F114" i="11"/>
  <c r="M67" i="11"/>
  <c r="O67" i="11" s="1"/>
  <c r="K67" i="11"/>
  <c r="J67" i="11"/>
  <c r="I67" i="11"/>
  <c r="H67" i="11"/>
  <c r="G67" i="11"/>
  <c r="M66" i="11"/>
  <c r="O66" i="11" s="1"/>
  <c r="O65" i="11"/>
  <c r="M65" i="11"/>
  <c r="K65" i="11"/>
  <c r="I65" i="11"/>
  <c r="H65" i="11"/>
  <c r="G65" i="11"/>
  <c r="M64" i="11"/>
  <c r="O64" i="11"/>
  <c r="R63" i="11"/>
  <c r="M63" i="11"/>
  <c r="O63" i="11"/>
  <c r="K63" i="11"/>
  <c r="J63" i="11"/>
  <c r="I63" i="11"/>
  <c r="H63" i="11"/>
  <c r="G63" i="11"/>
  <c r="M62" i="11"/>
  <c r="O62" i="11" s="1"/>
  <c r="R61" i="11"/>
  <c r="M61" i="11"/>
  <c r="O61" i="11" s="1"/>
  <c r="M60" i="11"/>
  <c r="O60" i="11" s="1"/>
  <c r="R59" i="11"/>
  <c r="M59" i="11"/>
  <c r="O59" i="11" s="1"/>
  <c r="O58" i="11"/>
  <c r="G58" i="11"/>
  <c r="O57" i="11"/>
  <c r="K57" i="11"/>
  <c r="J57" i="11"/>
  <c r="H57" i="11"/>
  <c r="G57" i="11"/>
  <c r="R56" i="11"/>
  <c r="R57" i="11" s="1"/>
  <c r="O56" i="11"/>
  <c r="O55" i="11"/>
  <c r="K55" i="11"/>
  <c r="J55" i="11"/>
  <c r="I55" i="11"/>
  <c r="H55" i="11"/>
  <c r="G55" i="11"/>
  <c r="O54" i="11"/>
  <c r="R53" i="11"/>
  <c r="O53" i="11"/>
  <c r="M51" i="11"/>
  <c r="O51" i="11" s="1"/>
  <c r="K51" i="11"/>
  <c r="J51" i="11"/>
  <c r="I51" i="11"/>
  <c r="H51" i="11"/>
  <c r="G51" i="11"/>
  <c r="M50" i="11"/>
  <c r="O50" i="11"/>
  <c r="K50" i="11"/>
  <c r="J50" i="11"/>
  <c r="I50" i="11"/>
  <c r="H50" i="11"/>
  <c r="G50" i="11"/>
  <c r="M49" i="11"/>
  <c r="O49" i="11" s="1"/>
  <c r="K49" i="11"/>
  <c r="J49" i="11"/>
  <c r="I49" i="11"/>
  <c r="H49" i="11"/>
  <c r="G49" i="11"/>
  <c r="M48" i="11"/>
  <c r="O48" i="11" s="1"/>
  <c r="K48" i="11"/>
  <c r="J48" i="11"/>
  <c r="I48" i="11"/>
  <c r="H48" i="11"/>
  <c r="G48" i="11"/>
  <c r="M47" i="11"/>
  <c r="O47" i="11"/>
  <c r="K47" i="11"/>
  <c r="J47" i="11"/>
  <c r="I47" i="11"/>
  <c r="H47" i="11"/>
  <c r="G47" i="11"/>
  <c r="M46" i="11"/>
  <c r="O46" i="11" s="1"/>
  <c r="K46" i="11"/>
  <c r="J46" i="11"/>
  <c r="I46" i="11"/>
  <c r="H46" i="11"/>
  <c r="G46" i="11"/>
  <c r="M44" i="11"/>
  <c r="O44" i="11" s="1"/>
  <c r="M43" i="11"/>
  <c r="O43" i="11" s="1"/>
  <c r="K43" i="11"/>
  <c r="J43" i="11"/>
  <c r="I43" i="11"/>
  <c r="H43" i="11"/>
  <c r="G43" i="11"/>
  <c r="M42" i="11"/>
  <c r="O42" i="11" s="1"/>
  <c r="M41" i="11"/>
  <c r="O41" i="11" s="1"/>
  <c r="M39" i="11"/>
  <c r="O39" i="11" s="1"/>
  <c r="K39" i="11"/>
  <c r="J39" i="11"/>
  <c r="I39" i="11"/>
  <c r="H39" i="11"/>
  <c r="G39" i="11"/>
  <c r="M38" i="11"/>
  <c r="O38" i="11" s="1"/>
  <c r="M37" i="11"/>
  <c r="O37" i="11" s="1"/>
  <c r="M33" i="11"/>
  <c r="O33" i="11" s="1"/>
  <c r="K33" i="11"/>
  <c r="I33" i="11"/>
  <c r="H33" i="11"/>
  <c r="G33" i="11"/>
  <c r="M31" i="11"/>
  <c r="O31" i="11"/>
  <c r="K31" i="11"/>
  <c r="J31" i="11"/>
  <c r="I31" i="11"/>
  <c r="H31" i="11"/>
  <c r="G31" i="11"/>
  <c r="M30" i="11"/>
  <c r="O30" i="11" s="1"/>
  <c r="M29" i="11"/>
  <c r="O29" i="11" s="1"/>
  <c r="K29" i="11"/>
  <c r="J29" i="11"/>
  <c r="I29" i="11"/>
  <c r="H29" i="11"/>
  <c r="G29" i="11"/>
  <c r="M28" i="11"/>
  <c r="O28" i="11" s="1"/>
  <c r="O27" i="11"/>
  <c r="K27" i="11"/>
  <c r="I27" i="11"/>
  <c r="H27" i="11"/>
  <c r="G27" i="11"/>
  <c r="M23" i="11"/>
  <c r="O23" i="11" s="1"/>
  <c r="K23" i="11"/>
  <c r="J23" i="11"/>
  <c r="I23" i="11"/>
  <c r="H23" i="11"/>
  <c r="G23" i="11"/>
  <c r="L20" i="11"/>
  <c r="M20" i="11" s="1"/>
  <c r="L19" i="11"/>
  <c r="M19" i="11" s="1"/>
  <c r="O19" i="11" s="1"/>
  <c r="M18" i="11"/>
  <c r="O18" i="11" s="1"/>
  <c r="M16" i="11"/>
  <c r="O16" i="11"/>
  <c r="M15" i="11"/>
  <c r="O15" i="11" s="1"/>
  <c r="K15" i="11"/>
  <c r="J15" i="11"/>
  <c r="I15" i="11"/>
  <c r="H15" i="11"/>
  <c r="G15" i="11"/>
  <c r="M13" i="11"/>
  <c r="O13" i="11" s="1"/>
  <c r="M12" i="11"/>
  <c r="O12" i="11" s="1"/>
  <c r="M11" i="11"/>
  <c r="O11" i="11" s="1"/>
  <c r="M10" i="11"/>
  <c r="O10" i="11" s="1"/>
  <c r="M9" i="11"/>
  <c r="G9" i="11"/>
  <c r="M8" i="11"/>
  <c r="O8" i="11" s="1"/>
  <c r="K8" i="11"/>
  <c r="J8" i="11"/>
  <c r="I8" i="11"/>
  <c r="H8" i="11"/>
  <c r="G8" i="11"/>
  <c r="M7" i="11"/>
  <c r="O7" i="11" s="1"/>
  <c r="K7" i="11"/>
  <c r="J7" i="11"/>
  <c r="I7" i="11"/>
  <c r="H7" i="11"/>
  <c r="G7" i="11"/>
  <c r="M6" i="11"/>
  <c r="O6" i="11"/>
  <c r="H6" i="11"/>
  <c r="G6" i="11"/>
  <c r="R119" i="2"/>
  <c r="K119" i="2"/>
  <c r="I119" i="2"/>
  <c r="F119" i="2"/>
  <c r="Q114" i="2"/>
  <c r="P114" i="2"/>
  <c r="N114" i="2"/>
  <c r="R74" i="2"/>
  <c r="Q74" i="2"/>
  <c r="P74" i="2"/>
  <c r="N74" i="2"/>
  <c r="L74" i="2"/>
  <c r="F74" i="2"/>
  <c r="Q54" i="2"/>
  <c r="Q55" i="2" s="1"/>
  <c r="P54" i="2"/>
  <c r="P55" i="2" s="1"/>
  <c r="P121" i="2" s="1"/>
  <c r="N54" i="2"/>
  <c r="N55" i="2" s="1"/>
  <c r="N119" i="2" s="1"/>
  <c r="N121" i="2" s="1"/>
  <c r="L54" i="2"/>
  <c r="L55" i="2" s="1"/>
  <c r="F55" i="2"/>
  <c r="F21" i="2"/>
  <c r="J72" i="2"/>
  <c r="Q21" i="2"/>
  <c r="P21" i="2"/>
  <c r="N21" i="2"/>
  <c r="J113" i="2"/>
  <c r="G113" i="2"/>
  <c r="K34" i="6"/>
  <c r="R91" i="2"/>
  <c r="J24" i="10"/>
  <c r="N20" i="10"/>
  <c r="L20" i="10"/>
  <c r="F20" i="10"/>
  <c r="M19" i="10"/>
  <c r="O19" i="10" s="1"/>
  <c r="J19" i="10"/>
  <c r="M18" i="10"/>
  <c r="O18" i="10"/>
  <c r="J18" i="10"/>
  <c r="I18" i="10"/>
  <c r="H18" i="10"/>
  <c r="G18" i="10"/>
  <c r="M17" i="10"/>
  <c r="O16" i="10"/>
  <c r="M16" i="10"/>
  <c r="J16" i="10"/>
  <c r="I16" i="10"/>
  <c r="H16" i="10"/>
  <c r="G16" i="10"/>
  <c r="M15" i="10"/>
  <c r="O15" i="10" s="1"/>
  <c r="J15" i="10"/>
  <c r="H15" i="10"/>
  <c r="G15" i="10"/>
  <c r="M14" i="10"/>
  <c r="O14" i="10" s="1"/>
  <c r="K14" i="10"/>
  <c r="J14" i="10"/>
  <c r="I14" i="10"/>
  <c r="H14" i="10"/>
  <c r="G14" i="10"/>
  <c r="M13" i="10"/>
  <c r="O13" i="10"/>
  <c r="K13" i="10"/>
  <c r="J13" i="10"/>
  <c r="I13" i="10"/>
  <c r="H13" i="10"/>
  <c r="G13" i="10"/>
  <c r="M12" i="10"/>
  <c r="J12" i="10"/>
  <c r="H12" i="10"/>
  <c r="G12" i="10"/>
  <c r="O11" i="10"/>
  <c r="G11" i="10"/>
  <c r="O10" i="10"/>
  <c r="K10" i="10"/>
  <c r="J10" i="10"/>
  <c r="I10" i="10"/>
  <c r="H10" i="10"/>
  <c r="G10" i="10"/>
  <c r="O9" i="10"/>
  <c r="J9" i="10"/>
  <c r="H9" i="10"/>
  <c r="G9" i="10"/>
  <c r="O8" i="10"/>
  <c r="J8" i="10"/>
  <c r="H8" i="10"/>
  <c r="G8" i="10"/>
  <c r="O7" i="10"/>
  <c r="J7" i="10"/>
  <c r="H7" i="10"/>
  <c r="G7" i="10"/>
  <c r="O6" i="10"/>
  <c r="J6" i="10"/>
  <c r="H6" i="10"/>
  <c r="H54" i="13" s="1"/>
  <c r="G6" i="10"/>
  <c r="O12" i="10"/>
  <c r="I112" i="2"/>
  <c r="I111" i="2"/>
  <c r="R111" i="2" s="1"/>
  <c r="I110" i="2"/>
  <c r="R110" i="2" s="1"/>
  <c r="I109" i="2"/>
  <c r="R109" i="2"/>
  <c r="I107" i="2"/>
  <c r="R107" i="2"/>
  <c r="I106" i="2"/>
  <c r="R106" i="2"/>
  <c r="I105" i="2"/>
  <c r="R105" i="2" s="1"/>
  <c r="I104" i="2"/>
  <c r="R104" i="2" s="1"/>
  <c r="I94" i="2"/>
  <c r="R94" i="2" s="1"/>
  <c r="I103" i="2"/>
  <c r="R103" i="2" s="1"/>
  <c r="I101" i="2"/>
  <c r="R101" i="2" s="1"/>
  <c r="I97" i="2"/>
  <c r="R97" i="2" s="1"/>
  <c r="I89" i="2"/>
  <c r="R89" i="2" s="1"/>
  <c r="I92" i="2"/>
  <c r="R92" i="2"/>
  <c r="I90" i="2"/>
  <c r="R90" i="2" s="1"/>
  <c r="I88" i="2"/>
  <c r="R88" i="2"/>
  <c r="I87" i="2"/>
  <c r="R87" i="2"/>
  <c r="I86" i="2"/>
  <c r="R86" i="2" s="1"/>
  <c r="I84" i="2"/>
  <c r="I83" i="2"/>
  <c r="I81" i="2"/>
  <c r="R81" i="2" s="1"/>
  <c r="I80" i="2"/>
  <c r="R80" i="2" s="1"/>
  <c r="I79" i="2"/>
  <c r="R79" i="2" s="1"/>
  <c r="O53" i="9"/>
  <c r="M53" i="9"/>
  <c r="P51" i="9"/>
  <c r="N49" i="9"/>
  <c r="P49" i="9" s="1"/>
  <c r="I46" i="9"/>
  <c r="G46" i="9"/>
  <c r="J46" i="9" s="1"/>
  <c r="N45" i="9"/>
  <c r="P45" i="9"/>
  <c r="K45" i="9"/>
  <c r="L45" i="9" s="1"/>
  <c r="I45" i="9"/>
  <c r="G45" i="9"/>
  <c r="P44" i="9"/>
  <c r="N44" i="9"/>
  <c r="K44" i="9"/>
  <c r="J111" i="2" s="1"/>
  <c r="I44" i="9"/>
  <c r="G44" i="9"/>
  <c r="N43" i="9"/>
  <c r="P43" i="9" s="1"/>
  <c r="L43" i="9"/>
  <c r="K110" i="2" s="1"/>
  <c r="K43" i="9"/>
  <c r="I43" i="9"/>
  <c r="G43" i="9"/>
  <c r="N42" i="9"/>
  <c r="P42" i="9" s="1"/>
  <c r="K42" i="9"/>
  <c r="I42" i="9"/>
  <c r="G42" i="9"/>
  <c r="N40" i="9"/>
  <c r="P40" i="9" s="1"/>
  <c r="K40" i="9"/>
  <c r="L40" i="9" s="1"/>
  <c r="I40" i="9"/>
  <c r="G40" i="9"/>
  <c r="N39" i="9"/>
  <c r="P39" i="9" s="1"/>
  <c r="K39" i="9"/>
  <c r="J106" i="2" s="1"/>
  <c r="I39" i="9"/>
  <c r="G39" i="9"/>
  <c r="N38" i="9"/>
  <c r="P38" i="9" s="1"/>
  <c r="K38" i="9"/>
  <c r="L38" i="9" s="1"/>
  <c r="I38" i="9"/>
  <c r="G38" i="9"/>
  <c r="N37" i="9"/>
  <c r="P37" i="9" s="1"/>
  <c r="K37" i="9"/>
  <c r="J104" i="2" s="1"/>
  <c r="I37" i="9"/>
  <c r="G37" i="9"/>
  <c r="N36" i="9"/>
  <c r="P36" i="9" s="1"/>
  <c r="K36" i="9"/>
  <c r="J103" i="2" s="1"/>
  <c r="I36" i="9"/>
  <c r="G36" i="9"/>
  <c r="N34" i="9"/>
  <c r="P34" i="9" s="1"/>
  <c r="K34" i="9"/>
  <c r="L34" i="9" s="1"/>
  <c r="I34" i="9"/>
  <c r="G34" i="9"/>
  <c r="N32" i="9"/>
  <c r="P32" i="9" s="1"/>
  <c r="K32" i="9"/>
  <c r="L32" i="9" s="1"/>
  <c r="N31" i="9"/>
  <c r="P31" i="9" s="1"/>
  <c r="K31" i="9"/>
  <c r="L31" i="9" s="1"/>
  <c r="F31" i="9"/>
  <c r="N30" i="9"/>
  <c r="P30" i="9" s="1"/>
  <c r="K30" i="9"/>
  <c r="J93" i="14" s="1"/>
  <c r="G30" i="9"/>
  <c r="F30" i="9"/>
  <c r="N28" i="9"/>
  <c r="P28" i="9"/>
  <c r="N27" i="9"/>
  <c r="P27" i="9" s="1"/>
  <c r="J27" i="9"/>
  <c r="I27" i="9"/>
  <c r="G27" i="9"/>
  <c r="N26" i="9"/>
  <c r="P26" i="9" s="1"/>
  <c r="N25" i="9"/>
  <c r="P25" i="9" s="1"/>
  <c r="N24" i="9"/>
  <c r="P24" i="9" s="1"/>
  <c r="L24" i="9"/>
  <c r="K89" i="13" s="1"/>
  <c r="K24" i="9"/>
  <c r="J94" i="2"/>
  <c r="I24" i="9"/>
  <c r="G24" i="9"/>
  <c r="N23" i="9"/>
  <c r="P23" i="9" s="1"/>
  <c r="N22" i="9"/>
  <c r="P22" i="9" s="1"/>
  <c r="J22" i="9"/>
  <c r="K22" i="9" s="1"/>
  <c r="L22" i="9" s="1"/>
  <c r="I22" i="9"/>
  <c r="G22" i="9"/>
  <c r="N21" i="9"/>
  <c r="P21" i="9" s="1"/>
  <c r="K21" i="9"/>
  <c r="L21" i="9" s="1"/>
  <c r="I21" i="9"/>
  <c r="G21" i="9"/>
  <c r="N19" i="9"/>
  <c r="P19" i="9" s="1"/>
  <c r="K19" i="9"/>
  <c r="J85" i="13" s="1"/>
  <c r="K85" i="13" s="1"/>
  <c r="I19" i="9"/>
  <c r="G19" i="9"/>
  <c r="N18" i="9"/>
  <c r="P18" i="9" s="1"/>
  <c r="K18" i="9"/>
  <c r="L18" i="9" s="1"/>
  <c r="I18" i="9"/>
  <c r="G18" i="9"/>
  <c r="N17" i="9"/>
  <c r="P17" i="9" s="1"/>
  <c r="K17" i="9"/>
  <c r="J83" i="13" s="1"/>
  <c r="I17" i="9"/>
  <c r="G17" i="9"/>
  <c r="N16" i="9"/>
  <c r="P16" i="9" s="1"/>
  <c r="K16" i="9"/>
  <c r="L16" i="9" s="1"/>
  <c r="I16" i="9"/>
  <c r="G16" i="9"/>
  <c r="N15" i="9"/>
  <c r="P15" i="9" s="1"/>
  <c r="K15" i="9"/>
  <c r="L15" i="9" s="1"/>
  <c r="I15" i="9"/>
  <c r="G15" i="9"/>
  <c r="N14" i="9"/>
  <c r="P14" i="9" s="1"/>
  <c r="J14" i="9"/>
  <c r="K14" i="9" s="1"/>
  <c r="I14" i="9"/>
  <c r="G14" i="9"/>
  <c r="N13" i="9"/>
  <c r="P13" i="9" s="1"/>
  <c r="K13" i="9"/>
  <c r="J84" i="2" s="1"/>
  <c r="I13" i="9"/>
  <c r="G13" i="9"/>
  <c r="N12" i="9"/>
  <c r="P12" i="9"/>
  <c r="K12" i="9"/>
  <c r="L12" i="9" s="1"/>
  <c r="I12" i="9"/>
  <c r="G12" i="9"/>
  <c r="N11" i="9"/>
  <c r="P11" i="9" s="1"/>
  <c r="J11" i="9"/>
  <c r="K11" i="9" s="1"/>
  <c r="I11" i="9"/>
  <c r="G11" i="9"/>
  <c r="F11" i="9"/>
  <c r="N10" i="9"/>
  <c r="P10" i="9" s="1"/>
  <c r="K10" i="9"/>
  <c r="I10" i="9"/>
  <c r="G10" i="9"/>
  <c r="N9" i="9"/>
  <c r="P9" i="9" s="1"/>
  <c r="K9" i="9"/>
  <c r="L9" i="9" s="1"/>
  <c r="I9" i="9"/>
  <c r="G9" i="9"/>
  <c r="N8" i="9"/>
  <c r="P8" i="9" s="1"/>
  <c r="K8" i="9"/>
  <c r="I8" i="9"/>
  <c r="G8" i="9"/>
  <c r="N7" i="9"/>
  <c r="J7" i="9"/>
  <c r="K7" i="9" s="1"/>
  <c r="I7" i="9"/>
  <c r="G7" i="9"/>
  <c r="F7" i="9"/>
  <c r="J80" i="2"/>
  <c r="K27" i="9"/>
  <c r="L27" i="9"/>
  <c r="K91" i="14" s="1"/>
  <c r="R19" i="2"/>
  <c r="R18" i="2"/>
  <c r="R16" i="2"/>
  <c r="R15" i="2"/>
  <c r="R13" i="2"/>
  <c r="R21" i="7"/>
  <c r="Q21" i="7"/>
  <c r="P21" i="7"/>
  <c r="N21" i="7"/>
  <c r="F21" i="7"/>
  <c r="L20" i="7"/>
  <c r="K20" i="7"/>
  <c r="J20" i="7"/>
  <c r="I20" i="7"/>
  <c r="H20" i="7"/>
  <c r="G20" i="7"/>
  <c r="L19" i="7"/>
  <c r="K19" i="7"/>
  <c r="J19" i="7"/>
  <c r="I19" i="7"/>
  <c r="H19" i="7"/>
  <c r="G19" i="7"/>
  <c r="M18" i="7"/>
  <c r="O18" i="7" s="1"/>
  <c r="J18" i="7"/>
  <c r="I18" i="7"/>
  <c r="K18" i="7" s="1"/>
  <c r="H18" i="7"/>
  <c r="G18" i="7"/>
  <c r="M16" i="7"/>
  <c r="O16" i="7" s="1"/>
  <c r="J16" i="7"/>
  <c r="H16" i="7"/>
  <c r="G16" i="7"/>
  <c r="M15" i="7"/>
  <c r="O15" i="7" s="1"/>
  <c r="J15" i="7"/>
  <c r="I15" i="7"/>
  <c r="H15" i="7"/>
  <c r="G15" i="7"/>
  <c r="M13" i="7"/>
  <c r="O13" i="7" s="1"/>
  <c r="K13" i="7"/>
  <c r="J13" i="7"/>
  <c r="I13" i="7"/>
  <c r="H13" i="7"/>
  <c r="G13" i="7"/>
  <c r="M12" i="7"/>
  <c r="O12" i="7" s="1"/>
  <c r="K12" i="7"/>
  <c r="J12" i="7"/>
  <c r="I12" i="7"/>
  <c r="H12" i="7"/>
  <c r="G12" i="7"/>
  <c r="M11" i="7"/>
  <c r="O11" i="7"/>
  <c r="K11" i="7"/>
  <c r="J11" i="7"/>
  <c r="I11" i="7"/>
  <c r="H11" i="7"/>
  <c r="G11" i="7"/>
  <c r="M10" i="7"/>
  <c r="O10" i="7" s="1"/>
  <c r="M9" i="7"/>
  <c r="O9" i="7" s="1"/>
  <c r="J9" i="7"/>
  <c r="H9" i="7"/>
  <c r="G9" i="7"/>
  <c r="M8" i="7"/>
  <c r="O8" i="7" s="1"/>
  <c r="K8" i="7"/>
  <c r="J8" i="7"/>
  <c r="I8" i="7"/>
  <c r="H8" i="7"/>
  <c r="G8" i="7"/>
  <c r="M7" i="7"/>
  <c r="O7" i="7"/>
  <c r="J7" i="7"/>
  <c r="H7" i="7"/>
  <c r="G7" i="7"/>
  <c r="M6" i="7"/>
  <c r="O6" i="7" s="1"/>
  <c r="J6" i="7"/>
  <c r="H6" i="7"/>
  <c r="G6" i="7"/>
  <c r="R12" i="2"/>
  <c r="R11" i="2"/>
  <c r="R9" i="2"/>
  <c r="R8" i="2"/>
  <c r="R7" i="2"/>
  <c r="R6" i="2"/>
  <c r="L38" i="6"/>
  <c r="M38" i="6" s="1"/>
  <c r="N38" i="6" s="1"/>
  <c r="J38" i="6"/>
  <c r="L36" i="6"/>
  <c r="M36" i="6" s="1"/>
  <c r="J36" i="6"/>
  <c r="I53" i="2"/>
  <c r="R53" i="2" s="1"/>
  <c r="M34" i="6"/>
  <c r="N34" i="6"/>
  <c r="K53" i="2" s="1"/>
  <c r="L14" i="6"/>
  <c r="I27" i="15" s="1"/>
  <c r="L13" i="6"/>
  <c r="L29" i="6"/>
  <c r="I43" i="14" s="1"/>
  <c r="L30" i="6"/>
  <c r="M30" i="6" s="1"/>
  <c r="J53" i="2"/>
  <c r="H34" i="2"/>
  <c r="G34" i="2"/>
  <c r="H33" i="2"/>
  <c r="G33" i="2"/>
  <c r="I32" i="2"/>
  <c r="R32" i="2" s="1"/>
  <c r="H32" i="2"/>
  <c r="G32" i="2"/>
  <c r="H30" i="2"/>
  <c r="G30" i="2"/>
  <c r="H29" i="2"/>
  <c r="G29" i="2"/>
  <c r="H28" i="2"/>
  <c r="G28" i="2"/>
  <c r="P225" i="5"/>
  <c r="Q225" i="5" s="1"/>
  <c r="P221" i="5"/>
  <c r="Q221" i="5" s="1"/>
  <c r="P220" i="5"/>
  <c r="O222" i="5"/>
  <c r="N222" i="5"/>
  <c r="M222" i="5"/>
  <c r="L222" i="5"/>
  <c r="K222" i="5"/>
  <c r="J222" i="5"/>
  <c r="I222" i="5"/>
  <c r="H222" i="5"/>
  <c r="G222" i="5"/>
  <c r="F222" i="5"/>
  <c r="E222" i="5"/>
  <c r="D222" i="5"/>
  <c r="P217" i="5"/>
  <c r="Q217" i="5" s="1"/>
  <c r="L217" i="5"/>
  <c r="P213" i="5"/>
  <c r="P212" i="5"/>
  <c r="P211" i="5"/>
  <c r="I69" i="2"/>
  <c r="P208" i="5"/>
  <c r="Q208" i="5" s="1"/>
  <c r="P204" i="5"/>
  <c r="Q204" i="5" s="1"/>
  <c r="P203" i="5"/>
  <c r="Q203" i="5" s="1"/>
  <c r="I67" i="2"/>
  <c r="H67" i="2"/>
  <c r="G67" i="2"/>
  <c r="P200" i="5"/>
  <c r="Q200" i="5" s="1"/>
  <c r="L200" i="5"/>
  <c r="P192" i="5"/>
  <c r="Q192" i="5" s="1"/>
  <c r="P189" i="5"/>
  <c r="Q186" i="5"/>
  <c r="P186" i="5"/>
  <c r="P183" i="5"/>
  <c r="I64" i="2"/>
  <c r="P180" i="5"/>
  <c r="J55" i="15" s="1"/>
  <c r="P176" i="5"/>
  <c r="P175" i="5"/>
  <c r="P168" i="5"/>
  <c r="Q168" i="5" s="1"/>
  <c r="P167" i="5"/>
  <c r="Q167" i="5" s="1"/>
  <c r="Q169" i="5" s="1"/>
  <c r="P172" i="5"/>
  <c r="J62" i="2" s="1"/>
  <c r="Q172" i="5"/>
  <c r="I59" i="2"/>
  <c r="P164" i="5"/>
  <c r="Q164" i="5" s="1"/>
  <c r="P162" i="5"/>
  <c r="J59" i="2" s="1"/>
  <c r="L162" i="5"/>
  <c r="H162" i="5"/>
  <c r="M162" i="5" s="1"/>
  <c r="P31" i="5"/>
  <c r="P5" i="5"/>
  <c r="Q5" i="5"/>
  <c r="O9" i="5"/>
  <c r="O8" i="5"/>
  <c r="P50" i="5"/>
  <c r="Q50" i="5"/>
  <c r="K19" i="2" s="1"/>
  <c r="P47" i="5"/>
  <c r="J133" i="13" s="1"/>
  <c r="P44" i="5"/>
  <c r="P40" i="5"/>
  <c r="Q40" i="5" s="1"/>
  <c r="P39" i="5"/>
  <c r="P38" i="5" s="1"/>
  <c r="O36" i="5"/>
  <c r="I13" i="2" s="1"/>
  <c r="N36" i="5"/>
  <c r="L36" i="5"/>
  <c r="H36" i="5"/>
  <c r="K36" i="5"/>
  <c r="J36" i="5"/>
  <c r="I36" i="5"/>
  <c r="P35" i="5"/>
  <c r="Q35" i="5" s="1"/>
  <c r="M35" i="5"/>
  <c r="P34" i="5"/>
  <c r="P36" i="5" s="1"/>
  <c r="M34" i="5"/>
  <c r="M36" i="5"/>
  <c r="P28" i="5"/>
  <c r="Q28" i="5" s="1"/>
  <c r="P25" i="5"/>
  <c r="Q25" i="5" s="1"/>
  <c r="P21" i="5"/>
  <c r="Q21" i="5" s="1"/>
  <c r="P20" i="5"/>
  <c r="Q20" i="5"/>
  <c r="P19" i="5"/>
  <c r="Q19" i="5" s="1"/>
  <c r="P18" i="5"/>
  <c r="Q18" i="5" s="1"/>
  <c r="P17" i="5"/>
  <c r="P16" i="5"/>
  <c r="Q16" i="5" s="1"/>
  <c r="P15" i="5"/>
  <c r="Q15" i="5" s="1"/>
  <c r="P14" i="5"/>
  <c r="Q14" i="5" s="1"/>
  <c r="P13" i="5"/>
  <c r="Q13" i="5" s="1"/>
  <c r="O22" i="5"/>
  <c r="I11" i="15" s="1"/>
  <c r="I8" i="13"/>
  <c r="N22" i="5"/>
  <c r="M22" i="5"/>
  <c r="L21" i="5"/>
  <c r="L20" i="5"/>
  <c r="L19" i="5"/>
  <c r="L22" i="5" s="1"/>
  <c r="L18" i="5"/>
  <c r="K9" i="6"/>
  <c r="K10" i="6"/>
  <c r="M10" i="6" s="1"/>
  <c r="K11" i="6"/>
  <c r="K13" i="6"/>
  <c r="K14" i="6"/>
  <c r="K15" i="6"/>
  <c r="K16" i="6"/>
  <c r="K17" i="6"/>
  <c r="K18" i="6"/>
  <c r="K23" i="6"/>
  <c r="K24" i="6"/>
  <c r="J29" i="6"/>
  <c r="J31" i="6"/>
  <c r="J32" i="6"/>
  <c r="J33" i="6"/>
  <c r="L33" i="6"/>
  <c r="I52" i="2" s="1"/>
  <c r="R52" i="2" s="1"/>
  <c r="L32" i="6"/>
  <c r="I51" i="2" s="1"/>
  <c r="R51" i="2" s="1"/>
  <c r="L31" i="6"/>
  <c r="I50" i="2" s="1"/>
  <c r="R50" i="2" s="1"/>
  <c r="M31" i="6"/>
  <c r="J45" i="13" s="1"/>
  <c r="L28" i="6"/>
  <c r="I41" i="15" s="1"/>
  <c r="L24" i="6"/>
  <c r="M24" i="6" s="1"/>
  <c r="L23" i="6"/>
  <c r="I37" i="13" s="1"/>
  <c r="R37" i="13" s="1"/>
  <c r="L18" i="6"/>
  <c r="L17" i="6"/>
  <c r="M17" i="6"/>
  <c r="N17" i="6" s="1"/>
  <c r="L16" i="6"/>
  <c r="M16" i="6" s="1"/>
  <c r="L15" i="6"/>
  <c r="M15" i="6"/>
  <c r="M13" i="6"/>
  <c r="J32" i="2" s="1"/>
  <c r="L11" i="6"/>
  <c r="I30" i="2" s="1"/>
  <c r="R30" i="2" s="1"/>
  <c r="L10" i="6"/>
  <c r="I29" i="2" s="1"/>
  <c r="R29" i="2" s="1"/>
  <c r="L9" i="6"/>
  <c r="I28" i="2" s="1"/>
  <c r="R28" i="2" s="1"/>
  <c r="K39" i="2"/>
  <c r="J39" i="2"/>
  <c r="I39" i="2"/>
  <c r="R39" i="2" s="1"/>
  <c r="H39" i="2"/>
  <c r="G39" i="2"/>
  <c r="K38" i="2"/>
  <c r="J38" i="2"/>
  <c r="I38" i="2"/>
  <c r="R38" i="2" s="1"/>
  <c r="H38" i="2"/>
  <c r="G38" i="2"/>
  <c r="H97" i="2"/>
  <c r="H114" i="2" s="1"/>
  <c r="G97" i="2"/>
  <c r="J66" i="2"/>
  <c r="I66" i="2"/>
  <c r="H66" i="2"/>
  <c r="G66" i="2"/>
  <c r="J65" i="2"/>
  <c r="I65" i="2"/>
  <c r="H65" i="2"/>
  <c r="G65" i="2"/>
  <c r="I62" i="2"/>
  <c r="H62" i="2"/>
  <c r="G62" i="2"/>
  <c r="I60" i="2"/>
  <c r="H60" i="2"/>
  <c r="G60" i="2"/>
  <c r="Q214" i="5"/>
  <c r="K158" i="2" s="1"/>
  <c r="O214" i="5"/>
  <c r="I158" i="2" s="1"/>
  <c r="P205" i="5"/>
  <c r="J68" i="2" s="1"/>
  <c r="O205" i="5"/>
  <c r="I68" i="2" s="1"/>
  <c r="O177" i="5"/>
  <c r="I54" i="15" s="1"/>
  <c r="I63" i="2"/>
  <c r="O169" i="5"/>
  <c r="I61" i="2" s="1"/>
  <c r="Q119" i="5"/>
  <c r="K44" i="2"/>
  <c r="P119" i="5"/>
  <c r="J39" i="14" s="1"/>
  <c r="O119" i="5"/>
  <c r="I44" i="2" s="1"/>
  <c r="R44" i="2" s="1"/>
  <c r="Q113" i="5"/>
  <c r="K40" i="2" s="1"/>
  <c r="P113" i="5"/>
  <c r="J40" i="2" s="1"/>
  <c r="O113" i="5"/>
  <c r="I40" i="2" s="1"/>
  <c r="R40" i="2" s="1"/>
  <c r="N113" i="5"/>
  <c r="Q98" i="5"/>
  <c r="P98" i="5"/>
  <c r="O98" i="5"/>
  <c r="N91" i="5"/>
  <c r="O91" i="5"/>
  <c r="P91" i="5"/>
  <c r="Q91" i="5"/>
  <c r="N84" i="5"/>
  <c r="O84" i="5"/>
  <c r="P84" i="5"/>
  <c r="Q84" i="5"/>
  <c r="J19" i="2"/>
  <c r="J18" i="2"/>
  <c r="I19" i="2"/>
  <c r="I18" i="2"/>
  <c r="H19" i="2"/>
  <c r="H18" i="2"/>
  <c r="G19" i="2"/>
  <c r="G18" i="2"/>
  <c r="I16" i="2"/>
  <c r="H16" i="2"/>
  <c r="G16" i="2"/>
  <c r="H13" i="2"/>
  <c r="G13" i="2"/>
  <c r="J12" i="2"/>
  <c r="I12" i="2"/>
  <c r="H12" i="2"/>
  <c r="G12" i="2"/>
  <c r="I11" i="2"/>
  <c r="H11" i="2"/>
  <c r="G11" i="2"/>
  <c r="I9" i="2"/>
  <c r="H9" i="2"/>
  <c r="G9" i="2"/>
  <c r="I6" i="2"/>
  <c r="H6" i="2"/>
  <c r="G6" i="2"/>
  <c r="Q73" i="5"/>
  <c r="P73" i="5"/>
  <c r="O73" i="5"/>
  <c r="Q63" i="5"/>
  <c r="K25" i="2" s="1"/>
  <c r="P63" i="5"/>
  <c r="O63" i="5"/>
  <c r="O41" i="5"/>
  <c r="I97" i="15" s="1"/>
  <c r="O10" i="5"/>
  <c r="I7" i="13" s="1"/>
  <c r="J7" i="13" s="1"/>
  <c r="K7" i="13" s="1"/>
  <c r="Q197" i="5"/>
  <c r="P197" i="5"/>
  <c r="O197" i="5"/>
  <c r="N155" i="5"/>
  <c r="O155" i="5"/>
  <c r="P155" i="5"/>
  <c r="Q155" i="5"/>
  <c r="Q147" i="5"/>
  <c r="P147" i="5"/>
  <c r="O147" i="5"/>
  <c r="N139" i="5"/>
  <c r="O139" i="5"/>
  <c r="P139" i="5"/>
  <c r="Q139" i="5"/>
  <c r="O130" i="5"/>
  <c r="Q130" i="5"/>
  <c r="P130" i="5"/>
  <c r="H52" i="2"/>
  <c r="G52" i="2"/>
  <c r="H50" i="2"/>
  <c r="G50" i="2"/>
  <c r="N197" i="5"/>
  <c r="M197" i="5"/>
  <c r="L197" i="5"/>
  <c r="K197" i="5"/>
  <c r="J197" i="5"/>
  <c r="I197" i="5"/>
  <c r="H197" i="5"/>
  <c r="G197" i="5"/>
  <c r="F197" i="5"/>
  <c r="E197" i="5"/>
  <c r="D197" i="5"/>
  <c r="M155" i="5"/>
  <c r="H51" i="2"/>
  <c r="L155" i="5"/>
  <c r="K155" i="5"/>
  <c r="J155" i="5"/>
  <c r="I155" i="5"/>
  <c r="H155" i="5"/>
  <c r="G155" i="5"/>
  <c r="F155" i="5"/>
  <c r="E155" i="5"/>
  <c r="D155" i="5"/>
  <c r="G51" i="2" s="1"/>
  <c r="N147" i="5"/>
  <c r="M147" i="5"/>
  <c r="H49" i="2" s="1"/>
  <c r="L147" i="5"/>
  <c r="K147" i="5"/>
  <c r="J147" i="5"/>
  <c r="I147" i="5"/>
  <c r="H147" i="5"/>
  <c r="G147" i="5"/>
  <c r="F147" i="5"/>
  <c r="E147" i="5"/>
  <c r="D147" i="5"/>
  <c r="G49" i="2" s="1"/>
  <c r="E139" i="5"/>
  <c r="F139" i="5"/>
  <c r="G139" i="5"/>
  <c r="H139" i="5"/>
  <c r="I139" i="5"/>
  <c r="J139" i="5"/>
  <c r="K139" i="5"/>
  <c r="L139" i="5"/>
  <c r="M139" i="5"/>
  <c r="H48" i="2" s="1"/>
  <c r="D139" i="5"/>
  <c r="G48" i="2" s="1"/>
  <c r="N130" i="5"/>
  <c r="M130" i="5"/>
  <c r="H47" i="2" s="1"/>
  <c r="L130" i="5"/>
  <c r="K130" i="5"/>
  <c r="J130" i="5"/>
  <c r="I130" i="5"/>
  <c r="H130" i="5"/>
  <c r="G130" i="5"/>
  <c r="F130" i="5"/>
  <c r="E130" i="5"/>
  <c r="D130" i="5"/>
  <c r="G47" i="2" s="1"/>
  <c r="M113" i="5"/>
  <c r="H40" i="2" s="1"/>
  <c r="L113" i="5"/>
  <c r="K113" i="5"/>
  <c r="J113" i="5"/>
  <c r="I113" i="5"/>
  <c r="H113" i="5"/>
  <c r="G113" i="5"/>
  <c r="F113" i="5"/>
  <c r="E113" i="5"/>
  <c r="D113" i="5"/>
  <c r="G40" i="2" s="1"/>
  <c r="E98" i="5"/>
  <c r="F98" i="5"/>
  <c r="G98" i="5"/>
  <c r="H98" i="5"/>
  <c r="I98" i="5"/>
  <c r="J98" i="5"/>
  <c r="K98" i="5"/>
  <c r="L98" i="5"/>
  <c r="M98" i="5"/>
  <c r="N98" i="5"/>
  <c r="D98" i="5"/>
  <c r="E91" i="5"/>
  <c r="F91" i="5"/>
  <c r="G91" i="5"/>
  <c r="H91" i="5"/>
  <c r="I91" i="5"/>
  <c r="J91" i="5"/>
  <c r="K91" i="5"/>
  <c r="L91" i="5"/>
  <c r="M91" i="5"/>
  <c r="D91" i="5"/>
  <c r="M84" i="5"/>
  <c r="L84" i="5"/>
  <c r="L85" i="5" s="1"/>
  <c r="K84" i="5"/>
  <c r="J84" i="5"/>
  <c r="I84" i="5"/>
  <c r="H84" i="5"/>
  <c r="H85" i="5"/>
  <c r="G84" i="5"/>
  <c r="F84" i="5"/>
  <c r="E84" i="5"/>
  <c r="D84" i="5"/>
  <c r="N73" i="5"/>
  <c r="M73" i="5"/>
  <c r="L73" i="5"/>
  <c r="K73" i="5"/>
  <c r="J73" i="5"/>
  <c r="I73" i="5"/>
  <c r="H73" i="5"/>
  <c r="G73" i="5"/>
  <c r="F73" i="5"/>
  <c r="E73" i="5"/>
  <c r="D73" i="5"/>
  <c r="L232" i="5"/>
  <c r="H232" i="5"/>
  <c r="N205" i="5"/>
  <c r="M205" i="5"/>
  <c r="H68" i="2"/>
  <c r="L205" i="5"/>
  <c r="K205" i="5"/>
  <c r="J205" i="5"/>
  <c r="I205" i="5"/>
  <c r="H205" i="5"/>
  <c r="G205" i="5"/>
  <c r="F205" i="5"/>
  <c r="E205" i="5"/>
  <c r="D205" i="5"/>
  <c r="G68" i="2" s="1"/>
  <c r="M85" i="5"/>
  <c r="E214" i="5"/>
  <c r="F214" i="5"/>
  <c r="G214" i="5"/>
  <c r="I214" i="5"/>
  <c r="J214" i="5"/>
  <c r="K214" i="5"/>
  <c r="M214" i="5"/>
  <c r="H158" i="2" s="1"/>
  <c r="N214" i="5"/>
  <c r="D214" i="5"/>
  <c r="G158" i="2" s="1"/>
  <c r="E177" i="5"/>
  <c r="F177" i="5"/>
  <c r="G177" i="5"/>
  <c r="I177" i="5"/>
  <c r="J177" i="5"/>
  <c r="K177" i="5"/>
  <c r="M177" i="5"/>
  <c r="H58" i="13" s="1"/>
  <c r="N177" i="5"/>
  <c r="D177" i="5"/>
  <c r="G63" i="2" s="1"/>
  <c r="E169" i="5"/>
  <c r="F169" i="5"/>
  <c r="G169" i="5"/>
  <c r="I169" i="5"/>
  <c r="J169" i="5"/>
  <c r="K169" i="5"/>
  <c r="M169" i="5"/>
  <c r="H56" i="13" s="1"/>
  <c r="N169" i="5"/>
  <c r="D169" i="5"/>
  <c r="G61" i="2" s="1"/>
  <c r="E119" i="5"/>
  <c r="F119" i="5"/>
  <c r="G119" i="5"/>
  <c r="I119" i="5"/>
  <c r="J119" i="5"/>
  <c r="K119" i="5"/>
  <c r="M119" i="5"/>
  <c r="H44" i="2"/>
  <c r="N119" i="5"/>
  <c r="D119" i="5"/>
  <c r="G44" i="2" s="1"/>
  <c r="E63" i="5"/>
  <c r="F63" i="5"/>
  <c r="G63" i="5"/>
  <c r="I63" i="5"/>
  <c r="J63" i="5"/>
  <c r="K63" i="5"/>
  <c r="M63" i="5"/>
  <c r="H25" i="2" s="1"/>
  <c r="N63" i="5"/>
  <c r="D63" i="5"/>
  <c r="G20" i="13" s="1"/>
  <c r="N41" i="5"/>
  <c r="M41" i="5"/>
  <c r="H97" i="15" s="1"/>
  <c r="H15" i="2"/>
  <c r="K41" i="5"/>
  <c r="J41" i="5"/>
  <c r="I41" i="5"/>
  <c r="G41" i="5"/>
  <c r="F41" i="5"/>
  <c r="E41" i="5"/>
  <c r="D41" i="5"/>
  <c r="G131" i="14" s="1"/>
  <c r="E22" i="5"/>
  <c r="F22" i="5"/>
  <c r="G22" i="5"/>
  <c r="I22" i="5"/>
  <c r="J22" i="5"/>
  <c r="K22" i="5"/>
  <c r="H8" i="2"/>
  <c r="G8" i="2"/>
  <c r="E10" i="5"/>
  <c r="F10" i="5"/>
  <c r="G10" i="5"/>
  <c r="I10" i="5"/>
  <c r="J10" i="5"/>
  <c r="M10" i="5"/>
  <c r="H7" i="2"/>
  <c r="N10" i="5"/>
  <c r="D10" i="5"/>
  <c r="G7" i="2" s="1"/>
  <c r="L213" i="5"/>
  <c r="H213" i="5"/>
  <c r="L212" i="5"/>
  <c r="H212" i="5"/>
  <c r="L211" i="5"/>
  <c r="L214" i="5" s="1"/>
  <c r="H211" i="5"/>
  <c r="L192" i="5"/>
  <c r="H192" i="5"/>
  <c r="L189" i="5"/>
  <c r="H189" i="5"/>
  <c r="L186" i="5"/>
  <c r="H186" i="5"/>
  <c r="L183" i="5"/>
  <c r="H183" i="5"/>
  <c r="L180" i="5"/>
  <c r="H180" i="5"/>
  <c r="L176" i="5"/>
  <c r="H176" i="5"/>
  <c r="L175" i="5"/>
  <c r="L177" i="5"/>
  <c r="H175" i="5"/>
  <c r="H177" i="5" s="1"/>
  <c r="L172" i="5"/>
  <c r="H172" i="5"/>
  <c r="L168" i="5"/>
  <c r="H168" i="5"/>
  <c r="L167" i="5"/>
  <c r="L169" i="5" s="1"/>
  <c r="H167" i="5"/>
  <c r="H169" i="5" s="1"/>
  <c r="I164" i="5"/>
  <c r="L164" i="5" s="1"/>
  <c r="H164" i="5"/>
  <c r="L118" i="5"/>
  <c r="H118" i="5"/>
  <c r="L117" i="5"/>
  <c r="L119" i="5" s="1"/>
  <c r="H117" i="5"/>
  <c r="H119" i="5" s="1"/>
  <c r="L101" i="5"/>
  <c r="H101" i="5"/>
  <c r="L62" i="5"/>
  <c r="L63" i="5" s="1"/>
  <c r="H62" i="5"/>
  <c r="L61" i="5"/>
  <c r="H61" i="5"/>
  <c r="L60" i="5"/>
  <c r="H60" i="5"/>
  <c r="L59" i="5"/>
  <c r="H59" i="5"/>
  <c r="L53" i="5"/>
  <c r="H53" i="5"/>
  <c r="L50" i="5"/>
  <c r="H50" i="5"/>
  <c r="L47" i="5"/>
  <c r="H47" i="5"/>
  <c r="L44" i="5"/>
  <c r="H44" i="5"/>
  <c r="L40" i="5"/>
  <c r="L41" i="5"/>
  <c r="H40" i="5"/>
  <c r="L39" i="5"/>
  <c r="H39" i="5"/>
  <c r="H41" i="5" s="1"/>
  <c r="I34" i="5"/>
  <c r="L31" i="5"/>
  <c r="H31" i="5"/>
  <c r="L28" i="5"/>
  <c r="H28" i="5"/>
  <c r="L25" i="5"/>
  <c r="H25" i="5"/>
  <c r="L9" i="5"/>
  <c r="H9" i="5"/>
  <c r="K8" i="5"/>
  <c r="K10" i="5" s="1"/>
  <c r="L8" i="5"/>
  <c r="L10" i="5" s="1"/>
  <c r="H8" i="5"/>
  <c r="H10" i="5" s="1"/>
  <c r="L5" i="5"/>
  <c r="H5" i="5"/>
  <c r="G64" i="2"/>
  <c r="F13" i="4"/>
  <c r="F14" i="4"/>
  <c r="F15" i="4"/>
  <c r="F16" i="4"/>
  <c r="D15" i="4"/>
  <c r="D14" i="4"/>
  <c r="J4" i="4"/>
  <c r="E22" i="4"/>
  <c r="D23" i="4"/>
  <c r="C23" i="4"/>
  <c r="D16" i="4"/>
  <c r="D17" i="4" s="1"/>
  <c r="D13" i="4"/>
  <c r="E17" i="4"/>
  <c r="D27" i="4" s="1"/>
  <c r="C17" i="4"/>
  <c r="C27" i="4" s="1"/>
  <c r="E8" i="4"/>
  <c r="C8" i="4"/>
  <c r="D5" i="4"/>
  <c r="F5" i="4"/>
  <c r="G5" i="4" s="1"/>
  <c r="D6" i="4"/>
  <c r="F6" i="4" s="1"/>
  <c r="G6" i="4" s="1"/>
  <c r="D7" i="4"/>
  <c r="F7" i="4" s="1"/>
  <c r="G7" i="4" s="1"/>
  <c r="D4" i="4"/>
  <c r="M112" i="3"/>
  <c r="M74" i="3"/>
  <c r="M70" i="3"/>
  <c r="M33" i="3"/>
  <c r="M32" i="3"/>
  <c r="M31" i="3"/>
  <c r="M29" i="3"/>
  <c r="M28" i="3"/>
  <c r="M27" i="3"/>
  <c r="H114" i="3"/>
  <c r="I112" i="3"/>
  <c r="G110" i="3"/>
  <c r="I110" i="3"/>
  <c r="G108" i="3"/>
  <c r="I108" i="3"/>
  <c r="G107" i="3"/>
  <c r="I107" i="3" s="1"/>
  <c r="G106" i="3"/>
  <c r="I106" i="3" s="1"/>
  <c r="G105" i="3"/>
  <c r="I105" i="3" s="1"/>
  <c r="G103" i="3"/>
  <c r="I103" i="3" s="1"/>
  <c r="G102" i="3"/>
  <c r="I102" i="3"/>
  <c r="G101" i="3"/>
  <c r="I101" i="3"/>
  <c r="G100" i="3"/>
  <c r="I100" i="3" s="1"/>
  <c r="G99" i="3"/>
  <c r="I99" i="3" s="1"/>
  <c r="G97" i="3"/>
  <c r="I97" i="3" s="1"/>
  <c r="G95" i="3"/>
  <c r="I95" i="3" s="1"/>
  <c r="G94" i="3"/>
  <c r="I94" i="3"/>
  <c r="E94" i="3"/>
  <c r="G93" i="3"/>
  <c r="I93" i="3" s="1"/>
  <c r="E93" i="3"/>
  <c r="G91" i="3"/>
  <c r="I91" i="3" s="1"/>
  <c r="G90" i="3"/>
  <c r="I90" i="3" s="1"/>
  <c r="G89" i="3"/>
  <c r="I89" i="3" s="1"/>
  <c r="G88" i="3"/>
  <c r="I88" i="3"/>
  <c r="G87" i="3"/>
  <c r="I87" i="3"/>
  <c r="G86" i="3"/>
  <c r="I86" i="3" s="1"/>
  <c r="G85" i="3"/>
  <c r="I85" i="3" s="1"/>
  <c r="G84" i="3"/>
  <c r="I84" i="3" s="1"/>
  <c r="G82" i="3"/>
  <c r="I82" i="3" s="1"/>
  <c r="G81" i="3"/>
  <c r="I81" i="3"/>
  <c r="G80" i="3"/>
  <c r="I80" i="3"/>
  <c r="G79" i="3"/>
  <c r="I79" i="3" s="1"/>
  <c r="G78" i="3"/>
  <c r="I78" i="3" s="1"/>
  <c r="G77" i="3"/>
  <c r="I77" i="3" s="1"/>
  <c r="G76" i="3"/>
  <c r="I76" i="3" s="1"/>
  <c r="G75" i="3"/>
  <c r="I75" i="3"/>
  <c r="G74" i="3"/>
  <c r="I74" i="3"/>
  <c r="E74" i="3"/>
  <c r="G73" i="3"/>
  <c r="I73" i="3" s="1"/>
  <c r="G72" i="3"/>
  <c r="I72" i="3"/>
  <c r="G71" i="3"/>
  <c r="I71" i="3" s="1"/>
  <c r="G70" i="3"/>
  <c r="I70" i="3" s="1"/>
  <c r="E70" i="3"/>
  <c r="G67" i="3"/>
  <c r="I67" i="3"/>
  <c r="G66" i="3"/>
  <c r="I66" i="3" s="1"/>
  <c r="G65" i="3"/>
  <c r="I65" i="3" s="1"/>
  <c r="G64" i="3"/>
  <c r="I64" i="3" s="1"/>
  <c r="P63" i="3"/>
  <c r="G63" i="3"/>
  <c r="I63" i="3" s="1"/>
  <c r="G62" i="3"/>
  <c r="I62" i="3" s="1"/>
  <c r="P61" i="3"/>
  <c r="G61" i="3"/>
  <c r="I61" i="3" s="1"/>
  <c r="G60" i="3"/>
  <c r="I60" i="3" s="1"/>
  <c r="P59" i="3"/>
  <c r="G59" i="3"/>
  <c r="I59" i="3"/>
  <c r="I58" i="3"/>
  <c r="I57" i="3"/>
  <c r="P56" i="3"/>
  <c r="P57" i="3" s="1"/>
  <c r="I56" i="3"/>
  <c r="I55" i="3"/>
  <c r="I54" i="3"/>
  <c r="P53" i="3"/>
  <c r="I53" i="3"/>
  <c r="G51" i="3"/>
  <c r="I51" i="3" s="1"/>
  <c r="G50" i="3"/>
  <c r="I50" i="3" s="1"/>
  <c r="G49" i="3"/>
  <c r="I49" i="3" s="1"/>
  <c r="G48" i="3"/>
  <c r="I48" i="3" s="1"/>
  <c r="G47" i="3"/>
  <c r="I47" i="3"/>
  <c r="G46" i="3"/>
  <c r="I46" i="3" s="1"/>
  <c r="G44" i="3"/>
  <c r="I44" i="3" s="1"/>
  <c r="G43" i="3"/>
  <c r="I43" i="3" s="1"/>
  <c r="G42" i="3"/>
  <c r="I42" i="3" s="1"/>
  <c r="G41" i="3"/>
  <c r="I41" i="3" s="1"/>
  <c r="G39" i="3"/>
  <c r="I39" i="3"/>
  <c r="G38" i="3"/>
  <c r="I38" i="3" s="1"/>
  <c r="G37" i="3"/>
  <c r="I37" i="3" s="1"/>
  <c r="G33" i="3"/>
  <c r="I33" i="3" s="1"/>
  <c r="G32" i="3"/>
  <c r="I32" i="3" s="1"/>
  <c r="G31" i="3"/>
  <c r="I31" i="3" s="1"/>
  <c r="G29" i="3"/>
  <c r="I29" i="3"/>
  <c r="G28" i="3"/>
  <c r="I28" i="3" s="1"/>
  <c r="I27" i="3"/>
  <c r="G23" i="3"/>
  <c r="I23" i="3" s="1"/>
  <c r="F20" i="3"/>
  <c r="F19" i="3"/>
  <c r="G19" i="3" s="1"/>
  <c r="I19" i="3" s="1"/>
  <c r="G18" i="3"/>
  <c r="I18" i="3"/>
  <c r="G16" i="3"/>
  <c r="I16" i="3" s="1"/>
  <c r="G15" i="3"/>
  <c r="I15" i="3" s="1"/>
  <c r="G13" i="3"/>
  <c r="I13" i="3" s="1"/>
  <c r="G12" i="3"/>
  <c r="I12" i="3" s="1"/>
  <c r="G11" i="3"/>
  <c r="I11" i="3" s="1"/>
  <c r="G10" i="3"/>
  <c r="I10" i="3"/>
  <c r="G9" i="3"/>
  <c r="I9" i="3" s="1"/>
  <c r="G8" i="3"/>
  <c r="I8" i="3" s="1"/>
  <c r="G7" i="3"/>
  <c r="I7" i="3" s="1"/>
  <c r="G6" i="3"/>
  <c r="I6" i="3" s="1"/>
  <c r="O117" i="2"/>
  <c r="M112" i="2"/>
  <c r="M111" i="2"/>
  <c r="O111" i="2"/>
  <c r="M110" i="2"/>
  <c r="O110" i="2" s="1"/>
  <c r="M109" i="2"/>
  <c r="O109" i="2" s="1"/>
  <c r="M107" i="2"/>
  <c r="M106" i="2"/>
  <c r="O106" i="2" s="1"/>
  <c r="M105" i="2"/>
  <c r="O105" i="2" s="1"/>
  <c r="M104" i="2"/>
  <c r="O104" i="2"/>
  <c r="M103" i="2"/>
  <c r="O103" i="2" s="1"/>
  <c r="M101" i="2"/>
  <c r="O101" i="2" s="1"/>
  <c r="M99" i="2"/>
  <c r="O99" i="2" s="1"/>
  <c r="M98" i="2"/>
  <c r="O98" i="2" s="1"/>
  <c r="F98" i="2"/>
  <c r="M97" i="2"/>
  <c r="O97" i="2" s="1"/>
  <c r="F97" i="2"/>
  <c r="M95" i="2"/>
  <c r="O95" i="2"/>
  <c r="M94" i="2"/>
  <c r="O94" i="2" s="1"/>
  <c r="M93" i="2"/>
  <c r="O93" i="2" s="1"/>
  <c r="M92" i="2"/>
  <c r="O92" i="2" s="1"/>
  <c r="M90" i="2"/>
  <c r="O90" i="2" s="1"/>
  <c r="M89" i="2"/>
  <c r="O89" i="2"/>
  <c r="M88" i="2"/>
  <c r="O88" i="2" s="1"/>
  <c r="M87" i="2"/>
  <c r="O87" i="2"/>
  <c r="M86" i="2"/>
  <c r="O86" i="2" s="1"/>
  <c r="M85" i="2"/>
  <c r="O85" i="2"/>
  <c r="M84" i="2"/>
  <c r="O84" i="2" s="1"/>
  <c r="M83" i="2"/>
  <c r="O83" i="2" s="1"/>
  <c r="M82" i="2"/>
  <c r="O82" i="2"/>
  <c r="F82" i="2"/>
  <c r="M81" i="2"/>
  <c r="O81" i="2" s="1"/>
  <c r="M80" i="2"/>
  <c r="O80" i="2" s="1"/>
  <c r="M79" i="2"/>
  <c r="O79" i="2" s="1"/>
  <c r="M78" i="2"/>
  <c r="O78" i="2" s="1"/>
  <c r="F78" i="2"/>
  <c r="M158" i="2"/>
  <c r="O158" i="2" s="1"/>
  <c r="M69" i="2"/>
  <c r="O69" i="2"/>
  <c r="M68" i="2"/>
  <c r="M74" i="2" s="1"/>
  <c r="M67" i="2"/>
  <c r="O67" i="2" s="1"/>
  <c r="M66" i="2"/>
  <c r="O66" i="2" s="1"/>
  <c r="M65" i="2"/>
  <c r="O65" i="2" s="1"/>
  <c r="O64" i="2"/>
  <c r="O63" i="2"/>
  <c r="O62" i="2"/>
  <c r="O61" i="2"/>
  <c r="O60" i="2"/>
  <c r="O59" i="2"/>
  <c r="M52" i="2"/>
  <c r="O52" i="2"/>
  <c r="M51" i="2"/>
  <c r="O51" i="2" s="1"/>
  <c r="M50" i="2"/>
  <c r="O50" i="2"/>
  <c r="M49" i="2"/>
  <c r="O49" i="2" s="1"/>
  <c r="M48" i="2"/>
  <c r="O48" i="2"/>
  <c r="M47" i="2"/>
  <c r="O47" i="2" s="1"/>
  <c r="M45" i="2"/>
  <c r="O45" i="2"/>
  <c r="M44" i="2"/>
  <c r="O44" i="2" s="1"/>
  <c r="M43" i="2"/>
  <c r="O43" i="2" s="1"/>
  <c r="M42" i="2"/>
  <c r="O42" i="2"/>
  <c r="M40" i="2"/>
  <c r="O40" i="2" s="1"/>
  <c r="M39" i="2"/>
  <c r="M38" i="2"/>
  <c r="O38" i="2"/>
  <c r="M34" i="2"/>
  <c r="O34" i="2" s="1"/>
  <c r="M30" i="2"/>
  <c r="O30" i="2"/>
  <c r="M29" i="2"/>
  <c r="O29" i="2" s="1"/>
  <c r="O28" i="2"/>
  <c r="M25" i="2"/>
  <c r="L19" i="2"/>
  <c r="L21" i="2" s="1"/>
  <c r="M18" i="2"/>
  <c r="O18" i="2" s="1"/>
  <c r="M16" i="2"/>
  <c r="O16" i="2" s="1"/>
  <c r="M15" i="2"/>
  <c r="O15" i="2" s="1"/>
  <c r="M13" i="2"/>
  <c r="O13" i="2" s="1"/>
  <c r="M12" i="2"/>
  <c r="O12" i="2" s="1"/>
  <c r="M11" i="2"/>
  <c r="O11" i="2" s="1"/>
  <c r="M10" i="2"/>
  <c r="O10" i="2" s="1"/>
  <c r="M9" i="2"/>
  <c r="O9" i="2" s="1"/>
  <c r="M8" i="2"/>
  <c r="O8" i="2" s="1"/>
  <c r="M7" i="2"/>
  <c r="O7" i="2" s="1"/>
  <c r="M6" i="2"/>
  <c r="O112" i="2"/>
  <c r="E114" i="3"/>
  <c r="E23" i="4"/>
  <c r="H42" i="15"/>
  <c r="H43" i="14"/>
  <c r="H43" i="13"/>
  <c r="H44" i="14"/>
  <c r="H44" i="13"/>
  <c r="K20" i="13"/>
  <c r="M18" i="6"/>
  <c r="N18" i="6"/>
  <c r="Q34" i="5"/>
  <c r="Q36" i="5" s="1"/>
  <c r="Q175" i="5"/>
  <c r="K90" i="13"/>
  <c r="J75" i="14"/>
  <c r="J74" i="13"/>
  <c r="L8" i="9"/>
  <c r="K75" i="14" s="1"/>
  <c r="J79" i="2"/>
  <c r="J77" i="14"/>
  <c r="J76" i="13"/>
  <c r="J81" i="2"/>
  <c r="L10" i="9"/>
  <c r="H19" i="15"/>
  <c r="H20" i="14"/>
  <c r="H20" i="13"/>
  <c r="G59" i="15"/>
  <c r="G63" i="14"/>
  <c r="G63" i="13"/>
  <c r="G34" i="15"/>
  <c r="G41" i="15"/>
  <c r="G42" i="14"/>
  <c r="G42" i="13"/>
  <c r="H43" i="15"/>
  <c r="H46" i="14"/>
  <c r="H46" i="13"/>
  <c r="J39" i="13"/>
  <c r="J44" i="2"/>
  <c r="K41" i="15"/>
  <c r="I42" i="14"/>
  <c r="I42" i="13"/>
  <c r="R42" i="13" s="1"/>
  <c r="N28" i="6"/>
  <c r="M28" i="6"/>
  <c r="J42" i="14" s="1"/>
  <c r="I47" i="2"/>
  <c r="R47" i="2" s="1"/>
  <c r="I43" i="15"/>
  <c r="I46" i="14"/>
  <c r="I46" i="13"/>
  <c r="R46" i="13" s="1"/>
  <c r="M32" i="6"/>
  <c r="N32" i="6" s="1"/>
  <c r="K57" i="14"/>
  <c r="K57" i="13"/>
  <c r="K62" i="2"/>
  <c r="P7" i="9"/>
  <c r="G11" i="15"/>
  <c r="G8" i="14"/>
  <c r="G8" i="13"/>
  <c r="G39" i="14"/>
  <c r="H38" i="15"/>
  <c r="H39" i="14"/>
  <c r="H39" i="13"/>
  <c r="G52" i="15"/>
  <c r="G56" i="14"/>
  <c r="G56" i="13"/>
  <c r="G42" i="15"/>
  <c r="G43" i="14"/>
  <c r="G43" i="13"/>
  <c r="G44" i="13"/>
  <c r="I20" i="13"/>
  <c r="I25" i="2"/>
  <c r="J11" i="14"/>
  <c r="J11" i="13"/>
  <c r="P169" i="5"/>
  <c r="J61" i="2" s="1"/>
  <c r="H9" i="15"/>
  <c r="H7" i="14"/>
  <c r="H7" i="13"/>
  <c r="H16" i="13" s="1"/>
  <c r="H59" i="15"/>
  <c r="H63" i="14"/>
  <c r="H63" i="13"/>
  <c r="H34" i="15"/>
  <c r="H35" i="14"/>
  <c r="H35" i="13"/>
  <c r="G46" i="13"/>
  <c r="J20" i="13"/>
  <c r="J20" i="14"/>
  <c r="J25" i="2"/>
  <c r="I22" i="15"/>
  <c r="I23" i="14"/>
  <c r="I23" i="13"/>
  <c r="M9" i="6"/>
  <c r="N9" i="6"/>
  <c r="K23" i="14" s="1"/>
  <c r="J50" i="2"/>
  <c r="J98" i="15"/>
  <c r="J132" i="14"/>
  <c r="J131" i="13"/>
  <c r="Q44" i="5"/>
  <c r="K132" i="14" s="1"/>
  <c r="J16" i="2"/>
  <c r="I93" i="2"/>
  <c r="R93" i="2" s="1"/>
  <c r="L37" i="9"/>
  <c r="K99" i="13" s="1"/>
  <c r="J75" i="15"/>
  <c r="K75" i="15" s="1"/>
  <c r="J105" i="14"/>
  <c r="J104" i="13"/>
  <c r="L42" i="9"/>
  <c r="J109" i="2"/>
  <c r="G59" i="2"/>
  <c r="J35" i="13"/>
  <c r="K39" i="14"/>
  <c r="K39" i="13"/>
  <c r="J59" i="15"/>
  <c r="J63" i="14"/>
  <c r="J63" i="13"/>
  <c r="N15" i="6"/>
  <c r="J101" i="15"/>
  <c r="J135" i="14"/>
  <c r="J134" i="13"/>
  <c r="J56" i="15"/>
  <c r="J60" i="14"/>
  <c r="J60" i="13"/>
  <c r="J57" i="15"/>
  <c r="J61" i="14"/>
  <c r="J61" i="13"/>
  <c r="I43" i="13"/>
  <c r="R43" i="13" s="1"/>
  <c r="K48" i="14"/>
  <c r="I39" i="15"/>
  <c r="I40" i="14"/>
  <c r="R40" i="14" s="1"/>
  <c r="R50" i="14" s="1"/>
  <c r="I40" i="13"/>
  <c r="R40" i="13" s="1"/>
  <c r="I45" i="2"/>
  <c r="R45" i="2"/>
  <c r="J71" i="15"/>
  <c r="K71" i="15" s="1"/>
  <c r="J91" i="14"/>
  <c r="J90" i="13"/>
  <c r="J96" i="13"/>
  <c r="I37" i="15"/>
  <c r="I38" i="14"/>
  <c r="I38" i="13"/>
  <c r="R38" i="13" s="1"/>
  <c r="H15" i="15"/>
  <c r="H13" i="14"/>
  <c r="H13" i="13"/>
  <c r="J14" i="15"/>
  <c r="J12" i="14"/>
  <c r="J12" i="13"/>
  <c r="J55" i="13"/>
  <c r="Q183" i="5"/>
  <c r="Q189" i="5"/>
  <c r="I43" i="2"/>
  <c r="R43" i="2" s="1"/>
  <c r="I26" i="15"/>
  <c r="I27" i="13"/>
  <c r="R27" i="13" s="1"/>
  <c r="I27" i="14"/>
  <c r="J45" i="15"/>
  <c r="J48" i="14"/>
  <c r="J48" i="13"/>
  <c r="I74" i="14"/>
  <c r="R74" i="14" s="1"/>
  <c r="I78" i="2"/>
  <c r="R78" i="2" s="1"/>
  <c r="I73" i="13"/>
  <c r="R73" i="13" s="1"/>
  <c r="J83" i="14"/>
  <c r="K83" i="14" s="1"/>
  <c r="J87" i="2"/>
  <c r="K87" i="2"/>
  <c r="J88" i="14"/>
  <c r="J90" i="14"/>
  <c r="J89" i="13"/>
  <c r="J74" i="15"/>
  <c r="K74" i="15" s="1"/>
  <c r="J102" i="14"/>
  <c r="L39" i="9"/>
  <c r="K102" i="14" s="1"/>
  <c r="J101" i="13"/>
  <c r="J89" i="2"/>
  <c r="J92" i="2"/>
  <c r="J95" i="2"/>
  <c r="I34" i="15"/>
  <c r="K34" i="15" s="1"/>
  <c r="I35" i="14"/>
  <c r="I35" i="13"/>
  <c r="R35" i="13"/>
  <c r="K35" i="14"/>
  <c r="K35" i="13"/>
  <c r="I38" i="15"/>
  <c r="I39" i="14"/>
  <c r="I39" i="13"/>
  <c r="R39" i="13" s="1"/>
  <c r="I56" i="14"/>
  <c r="I52" i="15"/>
  <c r="I56" i="13"/>
  <c r="I59" i="15"/>
  <c r="I63" i="14"/>
  <c r="I63" i="13"/>
  <c r="I23" i="15"/>
  <c r="I24" i="14"/>
  <c r="I24" i="13"/>
  <c r="R24" i="13" s="1"/>
  <c r="I44" i="15"/>
  <c r="H11" i="15"/>
  <c r="H8" i="14"/>
  <c r="H8" i="13"/>
  <c r="I15" i="15"/>
  <c r="I13" i="14"/>
  <c r="I13" i="13"/>
  <c r="Q31" i="5"/>
  <c r="K12" i="13" s="1"/>
  <c r="J54" i="14"/>
  <c r="J54" i="13"/>
  <c r="J53" i="15"/>
  <c r="J57" i="14"/>
  <c r="J57" i="13"/>
  <c r="J62" i="13"/>
  <c r="J67" i="2"/>
  <c r="K94" i="2"/>
  <c r="I91" i="14"/>
  <c r="R91" i="14" s="1"/>
  <c r="J73" i="15"/>
  <c r="K73" i="15" s="1"/>
  <c r="J99" i="14"/>
  <c r="J101" i="14"/>
  <c r="J103" i="14"/>
  <c r="J76" i="15"/>
  <c r="K76" i="15" s="1"/>
  <c r="J106" i="14"/>
  <c r="J107" i="2"/>
  <c r="J110" i="2"/>
  <c r="J112" i="2"/>
  <c r="M69" i="13"/>
  <c r="I90" i="13"/>
  <c r="J98" i="13"/>
  <c r="J102" i="13"/>
  <c r="I95" i="2"/>
  <c r="R95" i="2" s="1"/>
  <c r="J100" i="13"/>
  <c r="J105" i="13"/>
  <c r="O107" i="14"/>
  <c r="K23" i="13"/>
  <c r="K51" i="2"/>
  <c r="K61" i="14"/>
  <c r="K61" i="13"/>
  <c r="K66" i="2"/>
  <c r="K104" i="13"/>
  <c r="K105" i="14"/>
  <c r="K109" i="2"/>
  <c r="R90" i="13"/>
  <c r="K60" i="14"/>
  <c r="K60" i="13"/>
  <c r="K65" i="2"/>
  <c r="K131" i="13"/>
  <c r="J22" i="15"/>
  <c r="J23" i="14"/>
  <c r="J23" i="13"/>
  <c r="J28" i="2"/>
  <c r="J43" i="15"/>
  <c r="J46" i="14"/>
  <c r="J46" i="13"/>
  <c r="J51" i="2"/>
  <c r="K101" i="13"/>
  <c r="R23" i="13"/>
  <c r="J42" i="13"/>
  <c r="J47" i="2"/>
  <c r="K77" i="14"/>
  <c r="K76" i="13"/>
  <c r="K81" i="2"/>
  <c r="K83" i="2"/>
  <c r="R83" i="2" s="1"/>
  <c r="J56" i="14"/>
  <c r="J56" i="13"/>
  <c r="K42" i="14"/>
  <c r="K42" i="13"/>
  <c r="K47" i="2"/>
  <c r="J13" i="2"/>
  <c r="G54" i="14"/>
  <c r="G54" i="13"/>
  <c r="H54" i="14"/>
  <c r="H59" i="2"/>
  <c r="K46" i="13" l="1"/>
  <c r="K46" i="14"/>
  <c r="J81" i="14"/>
  <c r="J85" i="2"/>
  <c r="J80" i="13"/>
  <c r="K96" i="13"/>
  <c r="K97" i="14"/>
  <c r="K101" i="2"/>
  <c r="J37" i="15"/>
  <c r="J38" i="14"/>
  <c r="J38" i="13"/>
  <c r="J43" i="2"/>
  <c r="K11" i="14"/>
  <c r="K11" i="13"/>
  <c r="K11" i="2"/>
  <c r="N16" i="6"/>
  <c r="J29" i="13"/>
  <c r="J28" i="15"/>
  <c r="J29" i="14"/>
  <c r="J13" i="13"/>
  <c r="J15" i="15"/>
  <c r="J13" i="14"/>
  <c r="K55" i="14"/>
  <c r="K55" i="13"/>
  <c r="K79" i="14"/>
  <c r="R79" i="14" s="1"/>
  <c r="K78" i="13"/>
  <c r="R78" i="13" s="1"/>
  <c r="M49" i="14"/>
  <c r="J55" i="14"/>
  <c r="J97" i="14"/>
  <c r="G46" i="14"/>
  <c r="J60" i="2"/>
  <c r="P22" i="5"/>
  <c r="J52" i="15"/>
  <c r="K79" i="2"/>
  <c r="J62" i="14"/>
  <c r="J51" i="15"/>
  <c r="I80" i="13"/>
  <c r="R80" i="13" s="1"/>
  <c r="J99" i="13"/>
  <c r="J45" i="14"/>
  <c r="G43" i="15"/>
  <c r="G58" i="13"/>
  <c r="G35" i="13"/>
  <c r="H63" i="5"/>
  <c r="H214" i="5"/>
  <c r="P214" i="5"/>
  <c r="J158" i="2" s="1"/>
  <c r="I88" i="13"/>
  <c r="R88" i="13" s="1"/>
  <c r="I33" i="2"/>
  <c r="R33" i="2" s="1"/>
  <c r="K90" i="14"/>
  <c r="I29" i="13"/>
  <c r="R29" i="13" s="1"/>
  <c r="I89" i="14"/>
  <c r="R89" i="14" s="1"/>
  <c r="M54" i="2"/>
  <c r="M55" i="2" s="1"/>
  <c r="K16" i="2"/>
  <c r="K74" i="13"/>
  <c r="K28" i="2"/>
  <c r="L14" i="9"/>
  <c r="J58" i="15"/>
  <c r="K58" i="15" s="1"/>
  <c r="I29" i="14"/>
  <c r="K105" i="13"/>
  <c r="J87" i="13"/>
  <c r="J82" i="13"/>
  <c r="K82" i="13" s="1"/>
  <c r="J64" i="13"/>
  <c r="I81" i="14"/>
  <c r="R81" i="14" s="1"/>
  <c r="I58" i="13"/>
  <c r="G74" i="2"/>
  <c r="J100" i="14"/>
  <c r="H42" i="13"/>
  <c r="H49" i="13" s="1"/>
  <c r="H50" i="13" s="1"/>
  <c r="J59" i="14"/>
  <c r="G58" i="14"/>
  <c r="G39" i="13"/>
  <c r="G35" i="14"/>
  <c r="K95" i="2"/>
  <c r="G7" i="13"/>
  <c r="P222" i="5"/>
  <c r="I85" i="2"/>
  <c r="R85" i="2" s="1"/>
  <c r="H57" i="12"/>
  <c r="R81" i="13"/>
  <c r="F109" i="13"/>
  <c r="H16" i="14"/>
  <c r="L57" i="12"/>
  <c r="H203" i="12"/>
  <c r="O49" i="13"/>
  <c r="O50" i="13" s="1"/>
  <c r="G54" i="2"/>
  <c r="G55" i="2" s="1"/>
  <c r="O69" i="13"/>
  <c r="N31" i="6"/>
  <c r="J35" i="14"/>
  <c r="P41" i="5"/>
  <c r="I16" i="13"/>
  <c r="J108" i="14"/>
  <c r="I28" i="13"/>
  <c r="R28" i="13" s="1"/>
  <c r="K106" i="14"/>
  <c r="J64" i="14"/>
  <c r="J78" i="13"/>
  <c r="I58" i="14"/>
  <c r="I15" i="2"/>
  <c r="H130" i="13"/>
  <c r="G54" i="15"/>
  <c r="G66" i="15" s="1"/>
  <c r="G7" i="14"/>
  <c r="G16" i="14" s="1"/>
  <c r="I7" i="2"/>
  <c r="I21" i="2" s="1"/>
  <c r="I9" i="15"/>
  <c r="K104" i="2"/>
  <c r="I28" i="14"/>
  <c r="J84" i="13"/>
  <c r="K84" i="13" s="1"/>
  <c r="J69" i="15"/>
  <c r="K69" i="15" s="1"/>
  <c r="J60" i="15"/>
  <c r="K60" i="15" s="1"/>
  <c r="J79" i="14"/>
  <c r="I45" i="14"/>
  <c r="I130" i="13"/>
  <c r="H41" i="15"/>
  <c r="H131" i="14"/>
  <c r="G44" i="14"/>
  <c r="G38" i="15"/>
  <c r="G46" i="15" s="1"/>
  <c r="G9" i="15"/>
  <c r="G16" i="15" s="1"/>
  <c r="F114" i="2"/>
  <c r="D8" i="4"/>
  <c r="L36" i="9"/>
  <c r="L203" i="12"/>
  <c r="M109" i="13"/>
  <c r="K85" i="14"/>
  <c r="I131" i="14"/>
  <c r="R131" i="14" s="1"/>
  <c r="J11" i="2"/>
  <c r="M114" i="2"/>
  <c r="N24" i="6"/>
  <c r="M14" i="6"/>
  <c r="P8" i="5"/>
  <c r="Q8" i="5" s="1"/>
  <c r="Q10" i="5" s="1"/>
  <c r="K9" i="15" s="1"/>
  <c r="J83" i="2"/>
  <c r="I45" i="13"/>
  <c r="R45" i="13" s="1"/>
  <c r="H42" i="14"/>
  <c r="K100" i="14"/>
  <c r="K12" i="2"/>
  <c r="M19" i="2"/>
  <c r="O19" i="2" s="1"/>
  <c r="J107" i="13"/>
  <c r="J85" i="14"/>
  <c r="J101" i="2"/>
  <c r="K48" i="13"/>
  <c r="K34" i="2"/>
  <c r="G130" i="13"/>
  <c r="I8" i="2"/>
  <c r="I34" i="2"/>
  <c r="R34" i="2" s="1"/>
  <c r="Q39" i="5"/>
  <c r="R9" i="5"/>
  <c r="Q9" i="5"/>
  <c r="P9" i="5"/>
  <c r="P177" i="5"/>
  <c r="Q205" i="5"/>
  <c r="F53" i="9"/>
  <c r="J105" i="2"/>
  <c r="K20" i="10"/>
  <c r="M20" i="10"/>
  <c r="G114" i="2"/>
  <c r="L8" i="12"/>
  <c r="L10" i="12" s="1"/>
  <c r="J82" i="14"/>
  <c r="J75" i="13"/>
  <c r="D8" i="17"/>
  <c r="D22" i="17" s="1"/>
  <c r="D23" i="17" s="1"/>
  <c r="K55" i="15"/>
  <c r="K37" i="15"/>
  <c r="O56" i="15"/>
  <c r="O66" i="15" s="1"/>
  <c r="M66" i="15"/>
  <c r="O69" i="15"/>
  <c r="O84" i="15" s="1"/>
  <c r="G16" i="13"/>
  <c r="K59" i="15"/>
  <c r="M46" i="15"/>
  <c r="M49" i="15" s="1"/>
  <c r="H16" i="15"/>
  <c r="F89" i="15"/>
  <c r="I102" i="15"/>
  <c r="F114" i="3"/>
  <c r="M20" i="7"/>
  <c r="O20" i="7" s="1"/>
  <c r="K21" i="7"/>
  <c r="G20" i="10"/>
  <c r="O20" i="11"/>
  <c r="J21" i="7"/>
  <c r="J20" i="10"/>
  <c r="G110" i="14"/>
  <c r="H21" i="7"/>
  <c r="G21" i="7"/>
  <c r="I21" i="7"/>
  <c r="O134" i="13"/>
  <c r="G69" i="13"/>
  <c r="I20" i="10"/>
  <c r="H20" i="10"/>
  <c r="K69" i="2"/>
  <c r="K64" i="13"/>
  <c r="K64" i="14"/>
  <c r="K68" i="2"/>
  <c r="K63" i="13"/>
  <c r="K63" i="14"/>
  <c r="K82" i="14"/>
  <c r="K86" i="2"/>
  <c r="K81" i="13"/>
  <c r="O49" i="14"/>
  <c r="O50" i="14" s="1"/>
  <c r="K107" i="13"/>
  <c r="K108" i="14"/>
  <c r="K112" i="2"/>
  <c r="M114" i="11"/>
  <c r="K38" i="13"/>
  <c r="K38" i="14"/>
  <c r="K43" i="2"/>
  <c r="J8" i="2"/>
  <c r="J8" i="13"/>
  <c r="J16" i="13" s="1"/>
  <c r="J8" i="14"/>
  <c r="J16" i="14" s="1"/>
  <c r="J11" i="15"/>
  <c r="K11" i="15" s="1"/>
  <c r="J40" i="13"/>
  <c r="N36" i="6"/>
  <c r="J40" i="14"/>
  <c r="J39" i="15"/>
  <c r="K39" i="15" s="1"/>
  <c r="J45" i="2"/>
  <c r="L7" i="9"/>
  <c r="J73" i="13"/>
  <c r="J74" i="14"/>
  <c r="J78" i="2"/>
  <c r="K105" i="2"/>
  <c r="K100" i="13"/>
  <c r="K101" i="14"/>
  <c r="J33" i="2"/>
  <c r="N14" i="6"/>
  <c r="J28" i="14"/>
  <c r="J28" i="13"/>
  <c r="J27" i="15"/>
  <c r="K27" i="15" s="1"/>
  <c r="J63" i="2"/>
  <c r="J58" i="13"/>
  <c r="J58" i="14"/>
  <c r="J70" i="14" s="1"/>
  <c r="J54" i="15"/>
  <c r="K54" i="15" s="1"/>
  <c r="K92" i="2"/>
  <c r="K87" i="13"/>
  <c r="K88" i="14"/>
  <c r="K80" i="2"/>
  <c r="K75" i="13"/>
  <c r="K76" i="14"/>
  <c r="K102" i="13"/>
  <c r="K103" i="14"/>
  <c r="K107" i="2"/>
  <c r="O70" i="14"/>
  <c r="K56" i="13"/>
  <c r="K56" i="14"/>
  <c r="K61" i="2"/>
  <c r="K67" i="2"/>
  <c r="K62" i="13"/>
  <c r="K62" i="14"/>
  <c r="P53" i="9"/>
  <c r="O110" i="14"/>
  <c r="J49" i="2"/>
  <c r="J44" i="13"/>
  <c r="J44" i="14"/>
  <c r="K13" i="2"/>
  <c r="K13" i="13"/>
  <c r="N10" i="6"/>
  <c r="J24" i="13"/>
  <c r="J29" i="2"/>
  <c r="J24" i="14"/>
  <c r="J23" i="15"/>
  <c r="K23" i="15" s="1"/>
  <c r="K9" i="2"/>
  <c r="K9" i="14"/>
  <c r="K9" i="13"/>
  <c r="K93" i="2"/>
  <c r="K88" i="13"/>
  <c r="K89" i="14"/>
  <c r="I109" i="14"/>
  <c r="I113" i="2"/>
  <c r="R113" i="2" s="1"/>
  <c r="I108" i="13"/>
  <c r="L46" i="9"/>
  <c r="Q41" i="5"/>
  <c r="M50" i="14"/>
  <c r="J59" i="13"/>
  <c r="J69" i="13" s="1"/>
  <c r="O25" i="2"/>
  <c r="O55" i="2" s="1"/>
  <c r="O107" i="2"/>
  <c r="O114" i="2" s="1"/>
  <c r="H49" i="14"/>
  <c r="H50" i="14" s="1"/>
  <c r="K106" i="2"/>
  <c r="I77" i="13"/>
  <c r="J77" i="13" s="1"/>
  <c r="J100" i="15"/>
  <c r="K100" i="15" s="1"/>
  <c r="I47" i="13"/>
  <c r="R47" i="13" s="1"/>
  <c r="J26" i="15"/>
  <c r="K26" i="15" s="1"/>
  <c r="L11" i="9"/>
  <c r="J64" i="2"/>
  <c r="O39" i="2"/>
  <c r="O54" i="2" s="1"/>
  <c r="O68" i="2"/>
  <c r="O74" i="2" s="1"/>
  <c r="F4" i="4"/>
  <c r="G25" i="2"/>
  <c r="H63" i="2"/>
  <c r="H74" i="2" s="1"/>
  <c r="M11" i="6"/>
  <c r="M23" i="6"/>
  <c r="M33" i="6"/>
  <c r="Q47" i="5"/>
  <c r="Q176" i="5"/>
  <c r="Q177" i="5" s="1"/>
  <c r="L17" i="9"/>
  <c r="L19" i="9"/>
  <c r="O17" i="10"/>
  <c r="O20" i="10" s="1"/>
  <c r="L114" i="11"/>
  <c r="F116" i="13"/>
  <c r="O105" i="13"/>
  <c r="O109" i="13" s="1"/>
  <c r="O62" i="14"/>
  <c r="M135" i="14"/>
  <c r="O135" i="14" s="1"/>
  <c r="I28" i="15"/>
  <c r="K28" i="15" s="1"/>
  <c r="Q17" i="5"/>
  <c r="Q22" i="5" s="1"/>
  <c r="L30" i="9"/>
  <c r="J86" i="13"/>
  <c r="J134" i="14"/>
  <c r="J27" i="14"/>
  <c r="I24" i="15"/>
  <c r="J80" i="14"/>
  <c r="Q180" i="5"/>
  <c r="N53" i="9"/>
  <c r="G20" i="3"/>
  <c r="I20" i="3" s="1"/>
  <c r="I114" i="3" s="1"/>
  <c r="N11" i="6"/>
  <c r="N23" i="6"/>
  <c r="N33" i="6"/>
  <c r="Q162" i="5"/>
  <c r="J69" i="2"/>
  <c r="Q220" i="5"/>
  <c r="Q222" i="5" s="1"/>
  <c r="J88" i="2"/>
  <c r="F121" i="2"/>
  <c r="I136" i="14"/>
  <c r="I70" i="14"/>
  <c r="I78" i="14"/>
  <c r="J78" i="14" s="1"/>
  <c r="M49" i="13"/>
  <c r="M50" i="13" s="1"/>
  <c r="E8" i="17"/>
  <c r="E22" i="17" s="1"/>
  <c r="E23" i="17" s="1"/>
  <c r="J89" i="14"/>
  <c r="J84" i="14"/>
  <c r="J27" i="13"/>
  <c r="J77" i="15"/>
  <c r="K77" i="15" s="1"/>
  <c r="I25" i="14"/>
  <c r="J79" i="13"/>
  <c r="R16" i="13"/>
  <c r="G70" i="14"/>
  <c r="M110" i="14"/>
  <c r="I47" i="14"/>
  <c r="H61" i="2"/>
  <c r="I82" i="2"/>
  <c r="J82" i="2" s="1"/>
  <c r="O9" i="11"/>
  <c r="I16" i="14"/>
  <c r="J88" i="13"/>
  <c r="I42" i="2"/>
  <c r="R42" i="2" s="1"/>
  <c r="J107" i="14"/>
  <c r="I25" i="13"/>
  <c r="R25" i="13" s="1"/>
  <c r="L13" i="9"/>
  <c r="I44" i="14"/>
  <c r="K135" i="14"/>
  <c r="R135" i="14" s="1"/>
  <c r="R136" i="14" s="1"/>
  <c r="H21" i="2"/>
  <c r="J6" i="2"/>
  <c r="K6" i="2" s="1"/>
  <c r="K60" i="2"/>
  <c r="I48" i="2"/>
  <c r="R48" i="2" s="1"/>
  <c r="R21" i="2"/>
  <c r="K32" i="15"/>
  <c r="K29" i="14"/>
  <c r="J93" i="2"/>
  <c r="J86" i="14"/>
  <c r="K86" i="14" s="1"/>
  <c r="L44" i="9"/>
  <c r="J12" i="15"/>
  <c r="K12" i="15" s="1"/>
  <c r="I135" i="13"/>
  <c r="H69" i="13"/>
  <c r="I44" i="13"/>
  <c r="R44" i="13" s="1"/>
  <c r="K29" i="13"/>
  <c r="J91" i="2"/>
  <c r="J90" i="2"/>
  <c r="K90" i="2" s="1"/>
  <c r="J87" i="14"/>
  <c r="J106" i="13"/>
  <c r="J9" i="14"/>
  <c r="K134" i="13"/>
  <c r="H52" i="15"/>
  <c r="G19" i="15"/>
  <c r="H54" i="15"/>
  <c r="I74" i="2"/>
  <c r="M29" i="6"/>
  <c r="R135" i="13"/>
  <c r="R137" i="13" s="1"/>
  <c r="M19" i="7"/>
  <c r="O19" i="7" s="1"/>
  <c r="J97" i="2"/>
  <c r="I36" i="15"/>
  <c r="J9" i="13"/>
  <c r="N30" i="6"/>
  <c r="H56" i="14"/>
  <c r="G20" i="14"/>
  <c r="H58" i="14"/>
  <c r="O6" i="2"/>
  <c r="J9" i="2"/>
  <c r="L21" i="7"/>
  <c r="J92" i="13"/>
  <c r="I37" i="14"/>
  <c r="K89" i="2"/>
  <c r="I49" i="2"/>
  <c r="R49" i="2" s="1"/>
  <c r="J34" i="2"/>
  <c r="G15" i="2"/>
  <c r="G21" i="2" s="1"/>
  <c r="I42" i="15"/>
  <c r="G97" i="15"/>
  <c r="J38" i="15"/>
  <c r="K38" i="15" s="1"/>
  <c r="N13" i="6"/>
  <c r="Q121" i="2"/>
  <c r="K33" i="15"/>
  <c r="I69" i="13"/>
  <c r="K101" i="15"/>
  <c r="K45" i="15"/>
  <c r="K56" i="15"/>
  <c r="K51" i="15"/>
  <c r="K52" i="15"/>
  <c r="K14" i="15"/>
  <c r="K98" i="15"/>
  <c r="K57" i="15"/>
  <c r="K53" i="15"/>
  <c r="K15" i="15"/>
  <c r="K43" i="15"/>
  <c r="O46" i="15"/>
  <c r="O49" i="15" s="1"/>
  <c r="K22" i="15"/>
  <c r="H46" i="15"/>
  <c r="H49" i="15" s="1"/>
  <c r="I16" i="15"/>
  <c r="B4" i="19" s="1"/>
  <c r="G49" i="14"/>
  <c r="G50" i="14" s="1"/>
  <c r="H54" i="2"/>
  <c r="H55" i="2" s="1"/>
  <c r="I66" i="15"/>
  <c r="B11" i="19" s="1"/>
  <c r="B12" i="19" s="1"/>
  <c r="R112" i="2"/>
  <c r="R34" i="13"/>
  <c r="G49" i="13"/>
  <c r="G50" i="13" s="1"/>
  <c r="J86" i="2"/>
  <c r="I49" i="15" l="1"/>
  <c r="B5" i="19" s="1"/>
  <c r="B8" i="19" s="1"/>
  <c r="B14" i="19" s="1"/>
  <c r="M21" i="2"/>
  <c r="I110" i="14"/>
  <c r="J7" i="2"/>
  <c r="K7" i="2" s="1"/>
  <c r="K99" i="14"/>
  <c r="K98" i="13"/>
  <c r="K103" i="2"/>
  <c r="I54" i="2"/>
  <c r="R54" i="2" s="1"/>
  <c r="R55" i="2" s="1"/>
  <c r="H70" i="14"/>
  <c r="J109" i="13"/>
  <c r="M119" i="2"/>
  <c r="M121" i="2" s="1"/>
  <c r="R8" i="5"/>
  <c r="R10" i="5" s="1"/>
  <c r="P10" i="5"/>
  <c r="J9" i="15" s="1"/>
  <c r="J16" i="15" s="1"/>
  <c r="J97" i="15"/>
  <c r="K97" i="15" s="1"/>
  <c r="K102" i="15" s="1"/>
  <c r="J15" i="2"/>
  <c r="J131" i="14"/>
  <c r="J130" i="13"/>
  <c r="K81" i="14"/>
  <c r="K80" i="13"/>
  <c r="K85" i="2"/>
  <c r="I49" i="13"/>
  <c r="R49" i="13" s="1"/>
  <c r="R50" i="13" s="1"/>
  <c r="J74" i="2"/>
  <c r="I50" i="14"/>
  <c r="K45" i="13"/>
  <c r="K45" i="14"/>
  <c r="K50" i="2"/>
  <c r="J84" i="15"/>
  <c r="K84" i="15"/>
  <c r="R109" i="14"/>
  <c r="O21" i="7"/>
  <c r="H66" i="15"/>
  <c r="G114" i="3"/>
  <c r="K66" i="15"/>
  <c r="I89" i="15"/>
  <c r="G49" i="15"/>
  <c r="O114" i="11"/>
  <c r="M21" i="7"/>
  <c r="R138" i="14"/>
  <c r="R126" i="14"/>
  <c r="T126" i="14" s="1"/>
  <c r="K8" i="2"/>
  <c r="K8" i="13"/>
  <c r="K16" i="13" s="1"/>
  <c r="K8" i="14"/>
  <c r="K16" i="14" s="1"/>
  <c r="K63" i="2"/>
  <c r="K58" i="13"/>
  <c r="K58" i="14"/>
  <c r="K59" i="2"/>
  <c r="K54" i="13"/>
  <c r="K54" i="14"/>
  <c r="G4" i="4"/>
  <c r="F8" i="4"/>
  <c r="G8" i="4" s="1"/>
  <c r="K97" i="2"/>
  <c r="K92" i="13"/>
  <c r="K93" i="14"/>
  <c r="K29" i="2"/>
  <c r="K24" i="13"/>
  <c r="K24" i="14"/>
  <c r="K45" i="2"/>
  <c r="K40" i="13"/>
  <c r="K40" i="14"/>
  <c r="I50" i="13"/>
  <c r="I114" i="2"/>
  <c r="J30" i="2"/>
  <c r="J25" i="13"/>
  <c r="J25" i="14"/>
  <c r="J24" i="15"/>
  <c r="I109" i="13"/>
  <c r="R108" i="13"/>
  <c r="J114" i="2"/>
  <c r="J21" i="2"/>
  <c r="O21" i="2"/>
  <c r="O119" i="2" s="1"/>
  <c r="O121" i="2" s="1"/>
  <c r="K59" i="14"/>
  <c r="K64" i="2"/>
  <c r="K59" i="13"/>
  <c r="J37" i="13"/>
  <c r="J49" i="13" s="1"/>
  <c r="J50" i="13" s="1"/>
  <c r="J116" i="13" s="1"/>
  <c r="J37" i="14"/>
  <c r="J36" i="15"/>
  <c r="K36" i="15" s="1"/>
  <c r="J42" i="2"/>
  <c r="K113" i="2"/>
  <c r="K109" i="14"/>
  <c r="K108" i="13"/>
  <c r="K33" i="2"/>
  <c r="K28" i="13"/>
  <c r="K28" i="14"/>
  <c r="K16" i="15"/>
  <c r="K37" i="13"/>
  <c r="K37" i="14"/>
  <c r="K42" i="2"/>
  <c r="K111" i="2"/>
  <c r="K107" i="14"/>
  <c r="K106" i="13"/>
  <c r="K47" i="13"/>
  <c r="K47" i="14"/>
  <c r="K52" i="2"/>
  <c r="K44" i="13"/>
  <c r="K44" i="14"/>
  <c r="K49" i="2"/>
  <c r="J47" i="13"/>
  <c r="J47" i="14"/>
  <c r="J52" i="2"/>
  <c r="J44" i="15"/>
  <c r="K44" i="15" s="1"/>
  <c r="K91" i="2"/>
  <c r="K86" i="13"/>
  <c r="K87" i="14"/>
  <c r="K18" i="2"/>
  <c r="K133" i="13"/>
  <c r="K15" i="2"/>
  <c r="K130" i="13"/>
  <c r="K131" i="14"/>
  <c r="K136" i="14" s="1"/>
  <c r="K74" i="14"/>
  <c r="K73" i="13"/>
  <c r="L53" i="9"/>
  <c r="K78" i="2"/>
  <c r="J110" i="14"/>
  <c r="K80" i="14"/>
  <c r="R80" i="14" s="1"/>
  <c r="K79" i="13"/>
  <c r="R79" i="13" s="1"/>
  <c r="K84" i="2"/>
  <c r="R84" i="2" s="1"/>
  <c r="K88" i="2"/>
  <c r="K83" i="13"/>
  <c r="K84" i="14"/>
  <c r="J42" i="15"/>
  <c r="K42" i="15" s="1"/>
  <c r="J43" i="13"/>
  <c r="J48" i="2"/>
  <c r="J43" i="14"/>
  <c r="N29" i="6"/>
  <c r="K32" i="2"/>
  <c r="K27" i="13"/>
  <c r="K27" i="14"/>
  <c r="K30" i="2"/>
  <c r="K25" i="13"/>
  <c r="K25" i="14"/>
  <c r="K82" i="2"/>
  <c r="R82" i="2" s="1"/>
  <c r="R114" i="2" s="1"/>
  <c r="K77" i="13"/>
  <c r="R77" i="13" s="1"/>
  <c r="K78" i="14"/>
  <c r="R78" i="14" s="1"/>
  <c r="S126" i="14"/>
  <c r="U126" i="14" s="1"/>
  <c r="J49" i="15" l="1"/>
  <c r="J102" i="15"/>
  <c r="I117" i="14"/>
  <c r="K74" i="2"/>
  <c r="I55" i="2"/>
  <c r="K70" i="14"/>
  <c r="K69" i="13"/>
  <c r="R121" i="2"/>
  <c r="R122" i="2" s="1"/>
  <c r="R123" i="2" s="1"/>
  <c r="K135" i="13"/>
  <c r="K21" i="2"/>
  <c r="J49" i="14"/>
  <c r="R110" i="14"/>
  <c r="R117" i="14" s="1"/>
  <c r="R122" i="14" s="1"/>
  <c r="R127" i="14" s="1"/>
  <c r="R109" i="13"/>
  <c r="R116" i="13" s="1"/>
  <c r="R117" i="13" s="1"/>
  <c r="R118" i="13" s="1"/>
  <c r="L109" i="14"/>
  <c r="L110" i="14" s="1"/>
  <c r="K110" i="14"/>
  <c r="K24" i="15"/>
  <c r="K109" i="13"/>
  <c r="L108" i="13"/>
  <c r="L109" i="13" s="1"/>
  <c r="L113" i="2"/>
  <c r="K114" i="2"/>
  <c r="K43" i="13"/>
  <c r="K48" i="2"/>
  <c r="K54" i="2" s="1"/>
  <c r="K55" i="2" s="1"/>
  <c r="K43" i="14"/>
  <c r="K50" i="14" s="1"/>
  <c r="I116" i="13"/>
  <c r="I121" i="2"/>
  <c r="J50" i="14"/>
  <c r="J117" i="14" s="1"/>
  <c r="J54" i="2"/>
  <c r="J55" i="2" s="1"/>
  <c r="J121" i="2" s="1"/>
  <c r="J66" i="15"/>
  <c r="K49" i="15" l="1"/>
  <c r="K89" i="15" s="1"/>
  <c r="F20" i="18" s="1"/>
  <c r="R118" i="14"/>
  <c r="R119" i="14" s="1"/>
  <c r="T122" i="14"/>
  <c r="U122" i="14" s="1"/>
  <c r="U127" i="14" s="1"/>
  <c r="J89" i="15"/>
  <c r="S117" i="13"/>
  <c r="S118" i="13" s="1"/>
  <c r="K121" i="2"/>
  <c r="K49" i="13"/>
  <c r="K50" i="13" s="1"/>
  <c r="K116" i="13" s="1"/>
  <c r="S122" i="14"/>
  <c r="S127" i="14" s="1"/>
  <c r="L114" i="2"/>
  <c r="L119" i="2" s="1"/>
  <c r="L121" i="2" s="1"/>
  <c r="K117" i="14"/>
  <c r="K118" i="14" s="1"/>
  <c r="K119" i="14" s="1"/>
  <c r="T127" i="14" l="1"/>
  <c r="P16" i="13" l="1"/>
  <c r="P116" i="13"/>
  <c r="L89" i="15"/>
  <c r="L117" i="14"/>
  <c r="N116" i="13"/>
  <c r="P16" i="15"/>
  <c r="P16" i="14"/>
  <c r="P117" i="14"/>
  <c r="O16" i="15"/>
  <c r="O87" i="15"/>
  <c r="O89" i="15"/>
  <c r="L16" i="15"/>
  <c r="L87" i="15"/>
  <c r="O16" i="14"/>
  <c r="O115" i="14"/>
  <c r="O117" i="14"/>
  <c r="N16" i="14"/>
  <c r="N115" i="14"/>
  <c r="N117" i="14"/>
  <c r="Q117" i="14"/>
  <c r="Q16" i="14"/>
  <c r="L16" i="14"/>
  <c r="L115" i="14"/>
  <c r="O16" i="13"/>
  <c r="O114" i="13"/>
  <c r="O116" i="13"/>
  <c r="L16" i="13"/>
  <c r="L114" i="13"/>
  <c r="L116" i="13"/>
  <c r="N16" i="13"/>
  <c r="N114" i="13"/>
  <c r="M16" i="13"/>
  <c r="M114" i="13"/>
  <c r="M116" i="13"/>
  <c r="Q116" i="13"/>
  <c r="Q16" i="13"/>
  <c r="Q16" i="15"/>
  <c r="N16" i="15"/>
  <c r="N87" i="15"/>
  <c r="N89" i="15"/>
  <c r="M16" i="14"/>
  <c r="M115" i="14"/>
  <c r="M117" i="14"/>
  <c r="M16" i="15"/>
  <c r="M87" i="15"/>
  <c r="M89" i="15"/>
</calcChain>
</file>

<file path=xl/comments1.xml><?xml version="1.0" encoding="utf-8"?>
<comments xmlns="http://schemas.openxmlformats.org/spreadsheetml/2006/main">
  <authors>
    <author>Author</author>
  </authors>
  <commentList>
    <comment ref="C101" authorId="0" shapeId="0">
      <text>
        <r>
          <rPr>
            <b/>
            <sz val="9"/>
            <color indexed="81"/>
            <rFont val="Tahoma"/>
            <family val="2"/>
          </rPr>
          <t>Author:</t>
        </r>
        <r>
          <rPr>
            <sz val="9"/>
            <color indexed="81"/>
            <rFont val="Tahoma"/>
            <family val="2"/>
          </rPr>
          <t xml:space="preserve">
109000090</t>
        </r>
      </text>
    </comment>
  </commentList>
</comments>
</file>

<file path=xl/comments2.xml><?xml version="1.0" encoding="utf-8"?>
<comments xmlns="http://schemas.openxmlformats.org/spreadsheetml/2006/main">
  <authors>
    <author>Author</author>
  </authors>
  <commentList>
    <comment ref="C100" authorId="0" shapeId="0">
      <text>
        <r>
          <rPr>
            <b/>
            <sz val="9"/>
            <color indexed="81"/>
            <rFont val="Tahoma"/>
            <family val="2"/>
          </rPr>
          <t>Author:</t>
        </r>
        <r>
          <rPr>
            <sz val="9"/>
            <color indexed="81"/>
            <rFont val="Tahoma"/>
            <family val="2"/>
          </rPr>
          <t xml:space="preserve">
109000090</t>
        </r>
      </text>
    </comment>
  </commentList>
</comments>
</file>

<file path=xl/comments3.xml><?xml version="1.0" encoding="utf-8"?>
<comments xmlns="http://schemas.openxmlformats.org/spreadsheetml/2006/main">
  <authors>
    <author>Author</author>
  </authors>
  <commentList>
    <comment ref="C105" authorId="0" shapeId="0">
      <text>
        <r>
          <rPr>
            <b/>
            <sz val="9"/>
            <color indexed="81"/>
            <rFont val="Tahoma"/>
            <family val="2"/>
          </rPr>
          <t>Author:</t>
        </r>
        <r>
          <rPr>
            <sz val="9"/>
            <color indexed="81"/>
            <rFont val="Tahoma"/>
            <family val="2"/>
          </rPr>
          <t xml:space="preserve">
109000090</t>
        </r>
      </text>
    </comment>
  </commentList>
</comments>
</file>

<file path=xl/comments4.xml><?xml version="1.0" encoding="utf-8"?>
<comments xmlns="http://schemas.openxmlformats.org/spreadsheetml/2006/main">
  <authors>
    <author>Author</author>
  </authors>
  <commentList>
    <comment ref="B58" authorId="0" shapeId="0">
      <text>
        <r>
          <rPr>
            <b/>
            <sz val="9"/>
            <color indexed="81"/>
            <rFont val="Tahoma"/>
            <family val="2"/>
          </rPr>
          <t>Author:</t>
        </r>
        <r>
          <rPr>
            <sz val="9"/>
            <color indexed="81"/>
            <rFont val="Tahoma"/>
            <family val="2"/>
          </rPr>
          <t xml:space="preserve">
10400061</t>
        </r>
      </text>
    </comment>
  </commentList>
</comments>
</file>

<file path=xl/comments5.xml><?xml version="1.0" encoding="utf-8"?>
<comments xmlns="http://schemas.openxmlformats.org/spreadsheetml/2006/main">
  <authors>
    <author>Author</author>
  </authors>
  <commentList>
    <comment ref="K4" authorId="0" shapeId="0">
      <text>
        <r>
          <rPr>
            <b/>
            <sz val="9"/>
            <color indexed="81"/>
            <rFont val="Tahoma"/>
            <family val="2"/>
          </rPr>
          <t>Author:</t>
        </r>
        <r>
          <rPr>
            <sz val="9"/>
            <color indexed="81"/>
            <rFont val="Tahoma"/>
            <family val="2"/>
          </rPr>
          <t xml:space="preserve">
ar</t>
        </r>
      </text>
    </comment>
  </commentList>
</comments>
</file>

<file path=xl/comments6.xml><?xml version="1.0" encoding="utf-8"?>
<comments xmlns="http://schemas.openxmlformats.org/spreadsheetml/2006/main">
  <authors>
    <author>Author</author>
  </authors>
  <commentList>
    <comment ref="C38" authorId="0" shapeId="0">
      <text>
        <r>
          <rPr>
            <b/>
            <sz val="9"/>
            <color indexed="81"/>
            <rFont val="Tahoma"/>
            <family val="2"/>
          </rPr>
          <t>Author:</t>
        </r>
        <r>
          <rPr>
            <sz val="9"/>
            <color indexed="81"/>
            <rFont val="Tahoma"/>
            <family val="2"/>
          </rPr>
          <t xml:space="preserve">
109000090</t>
        </r>
      </text>
    </comment>
  </commentList>
</comments>
</file>

<file path=xl/comments7.xml><?xml version="1.0" encoding="utf-8"?>
<comments xmlns="http://schemas.openxmlformats.org/spreadsheetml/2006/main">
  <authors>
    <author>Author</author>
  </authors>
  <commentList>
    <comment ref="C101" authorId="0" shapeId="0">
      <text>
        <r>
          <rPr>
            <b/>
            <sz val="9"/>
            <color indexed="81"/>
            <rFont val="Tahoma"/>
            <family val="2"/>
          </rPr>
          <t>Author:</t>
        </r>
        <r>
          <rPr>
            <sz val="9"/>
            <color indexed="81"/>
            <rFont val="Tahoma"/>
            <family val="2"/>
          </rPr>
          <t xml:space="preserve">
109000090</t>
        </r>
      </text>
    </comment>
  </commentList>
</comments>
</file>

<file path=xl/comments8.xml><?xml version="1.0" encoding="utf-8"?>
<comments xmlns="http://schemas.openxmlformats.org/spreadsheetml/2006/main">
  <authors>
    <author>Author</author>
  </authors>
  <commentList>
    <comment ref="B52" authorId="0" shapeId="0">
      <text>
        <r>
          <rPr>
            <b/>
            <sz val="9"/>
            <color indexed="81"/>
            <rFont val="Tahoma"/>
            <family val="2"/>
          </rPr>
          <t>Author:</t>
        </r>
        <r>
          <rPr>
            <sz val="9"/>
            <color indexed="81"/>
            <rFont val="Tahoma"/>
            <family val="2"/>
          </rPr>
          <t xml:space="preserve">
10400061</t>
        </r>
      </text>
    </comment>
  </commentList>
</comments>
</file>

<file path=xl/sharedStrings.xml><?xml version="1.0" encoding="utf-8"?>
<sst xmlns="http://schemas.openxmlformats.org/spreadsheetml/2006/main" count="3425" uniqueCount="623">
  <si>
    <t>SL.
No</t>
  </si>
  <si>
    <t>Name of Assets</t>
  </si>
  <si>
    <t>Quantity</t>
  </si>
  <si>
    <t>Name of the Insurance Company</t>
  </si>
  <si>
    <t>Premium</t>
  </si>
  <si>
    <t>GST @18%</t>
  </si>
  <si>
    <t>Stamp Duty</t>
  </si>
  <si>
    <t>MARINE DEPARTMENT</t>
  </si>
  <si>
    <t>GHD Nehru Shatabdi</t>
  </si>
  <si>
    <t>All risks of loss of damage to the hull and machinery including fire &amp; special perils (including bad weather)</t>
  </si>
  <si>
    <t xml:space="preserve">New India Assurance </t>
  </si>
  <si>
    <t>VTMS</t>
  </si>
  <si>
    <t>All risk including machinery breakdown, electronic equipment, Burglary, theft, fire &amp; allied perils, accidental damages, larceny, house breaking &amp; robbery cover and earthquake</t>
  </si>
  <si>
    <t>Channel Buoys (26 nos.) &amp; Solar Powered leading lights</t>
  </si>
  <si>
    <t xml:space="preserve">Burglary, accidental damages/collission damages, drifting, damage due to bad weather and salvages expense of recovery of buoys &amp; light fittings </t>
  </si>
  <si>
    <t>Hydrographic Equipments</t>
  </si>
  <si>
    <t>EEI  (Electronic Equipment Insurance)</t>
  </si>
  <si>
    <t>Multi Skimmer Minimax MM 60 W/S</t>
  </si>
  <si>
    <t>Standard fire &amp; allied perils, including STFI and EQ, burglary &amp; accidental damage and house breaking.</t>
  </si>
  <si>
    <t>Oriental Insurance</t>
  </si>
  <si>
    <t>Harbour Pilot Unit</t>
  </si>
  <si>
    <t>Electronic Equipment Insurance (EEI)</t>
  </si>
  <si>
    <t xml:space="preserve">Fire Fighting System installed at Q4 berth </t>
  </si>
  <si>
    <t>All risk including machinery breakdown</t>
  </si>
  <si>
    <t>Electrical installation &amp; fire fighting system</t>
  </si>
  <si>
    <t>Standard Fire and allied perils, STFI, Earthquake</t>
  </si>
  <si>
    <t>Speed Boat</t>
  </si>
  <si>
    <t>Regal 2860 Window Express (D)</t>
  </si>
  <si>
    <t>Regal 1990 Bowrider (P)</t>
  </si>
  <si>
    <t>Tugs</t>
  </si>
  <si>
    <t>Tug Vallarpadom</t>
  </si>
  <si>
    <t>ITC Hulls (Port Risk) (Total loss and Partial loss).</t>
  </si>
  <si>
    <t>Tug Vypeen</t>
  </si>
  <si>
    <t>Tug Bali</t>
  </si>
  <si>
    <t>CIVIL ENGINEERING DEPARTMENT</t>
  </si>
  <si>
    <t>COT &amp; its machinery</t>
  </si>
  <si>
    <t>Civil Structure, with EQ</t>
  </si>
  <si>
    <t>Special Contingency Policy-Required to cover civil structures damage caused by vessels, while drifting,collission and berthing / unberthing</t>
  </si>
  <si>
    <t>Managed by Traffic Department</t>
  </si>
  <si>
    <t>Godown Buildings:-</t>
  </si>
  <si>
    <t>a. Ernakulam Wharf</t>
  </si>
  <si>
    <t xml:space="preserve">Transit shed Q6 </t>
  </si>
  <si>
    <t xml:space="preserve">Standard Fire and special perils, STFI, Earthquake, Burglary, accidental damages &amp; house breaking </t>
  </si>
  <si>
    <t>37700 Sq.ft.</t>
  </si>
  <si>
    <t xml:space="preserve">United India Insurance </t>
  </si>
  <si>
    <t>Over Flow Shed OFS 8</t>
  </si>
  <si>
    <t>17000 Sq.ft.</t>
  </si>
  <si>
    <t>Ware House No. 6</t>
  </si>
  <si>
    <t>20300 Sq.ft.</t>
  </si>
  <si>
    <t>b. Mattancherry Wharf</t>
  </si>
  <si>
    <t xml:space="preserve">Transit Shed Q2, Q3 &amp; Q4  </t>
  </si>
  <si>
    <t>3 X 47000 Sq.ft.</t>
  </si>
  <si>
    <t xml:space="preserve">Over Flow Shed OFS 5, 6 &amp; 7 </t>
  </si>
  <si>
    <t>3 X 21500 Sq.ft.</t>
  </si>
  <si>
    <t>Ware House No. 1</t>
  </si>
  <si>
    <t>30800 Sq.ft.</t>
  </si>
  <si>
    <t>Ware House No. 2</t>
  </si>
  <si>
    <t>38900 Sq.ft.</t>
  </si>
  <si>
    <t>Ware House No. 3</t>
  </si>
  <si>
    <t>28500 Sq.ft.</t>
  </si>
  <si>
    <t xml:space="preserve">Ware House No. 4 </t>
  </si>
  <si>
    <t>18200 Sq.ft.</t>
  </si>
  <si>
    <t>Berth-Q1 at Mattancherry Wharf</t>
  </si>
  <si>
    <t>Berth-Q4 at Mattancherry Wharf</t>
  </si>
  <si>
    <t>OTB Civil Structures Ernakulam &amp;Mattancherry Wharves &amp; Q8,Q9</t>
  </si>
  <si>
    <t xml:space="preserve">c. BTP </t>
  </si>
  <si>
    <t xml:space="preserve">SAGARA </t>
  </si>
  <si>
    <t>48420 Sq.ft.</t>
  </si>
  <si>
    <t>SAMUDRIKA</t>
  </si>
  <si>
    <t>16140 Sq.ft.</t>
  </si>
  <si>
    <t>BTP &amp; NCB  Jetty</t>
  </si>
  <si>
    <t>Customs Jetty</t>
  </si>
  <si>
    <t>Old Administrative Block (Clock Tower)</t>
  </si>
  <si>
    <t>Standard fire, special perils, STFI, earthquake, burglary, accidental damages and house breaking</t>
  </si>
  <si>
    <t>25520 Sq.ft.</t>
  </si>
  <si>
    <t>New Administrative Block</t>
  </si>
  <si>
    <t>57320 Sq.ft.</t>
  </si>
  <si>
    <t xml:space="preserve">CAD Building / FA&amp;CAO's Office </t>
  </si>
  <si>
    <t>19700 Sq.ft.</t>
  </si>
  <si>
    <t>National Insurance</t>
  </si>
  <si>
    <t>Bank building / FA&amp;CAO's office</t>
  </si>
  <si>
    <t>16500 Sq.ft.</t>
  </si>
  <si>
    <t>Old Chairman's Office</t>
  </si>
  <si>
    <t>13850 Sq.ft.</t>
  </si>
  <si>
    <t>Marine Building</t>
  </si>
  <si>
    <t>36630 Sq.ft.</t>
  </si>
  <si>
    <t>MECHANICAL ENGINEERING DEPARTMENT</t>
  </si>
  <si>
    <t>Reach stacker</t>
  </si>
  <si>
    <t>Standard fire &amp; allied perils, including STFI and EQ, Operator cover and third party cover</t>
  </si>
  <si>
    <t>Mobile Harbour Crane</t>
  </si>
  <si>
    <t>Forklift Trucks (2 nos.)</t>
  </si>
  <si>
    <t>Heavy Duty Reach Stacker 
Model No.TIL 45-31CH (45 Tonnes load capacity)</t>
  </si>
  <si>
    <t>Fork Lift - 3 Tonnes 
Model No.DVX 30 GATP HVT 2125</t>
  </si>
  <si>
    <t>Fork Lift - 5 Tonnes 
Model No.DVX  506 AT PD HVT 2100</t>
  </si>
  <si>
    <t xml:space="preserve">110 KV substation </t>
  </si>
  <si>
    <t>2.5 MW D.G. SET</t>
  </si>
  <si>
    <t>11 KV panels at New Powerhouse</t>
  </si>
  <si>
    <t>3.3 KV PANELS AT NEW POWER HOUSE</t>
  </si>
  <si>
    <t>VCBs at M/halt substation</t>
  </si>
  <si>
    <t>VCBs, Transformer, Cables at Vallarpadam substation</t>
  </si>
  <si>
    <t>Vehicle monitoring system at Cochin Port Trust</t>
  </si>
  <si>
    <t>Weigh Bridge CFS</t>
  </si>
  <si>
    <t>Cargo Transfer Equipment (COT)</t>
  </si>
  <si>
    <t xml:space="preserve"> Standard Fire and allied perils, STFI, Earthquake</t>
  </si>
  <si>
    <t>EDP (FINANCE DEPARTMENT)</t>
  </si>
  <si>
    <t>I. Servers and Data Center Equipments</t>
  </si>
  <si>
    <t xml:space="preserve">SUN FIRE X 4450 x 64 RACK -MOUNT </t>
  </si>
  <si>
    <t>EEI (Electronic Equipment Insurance)</t>
  </si>
  <si>
    <t xml:space="preserve">SUN FIRE X 4150 x 64 RACK -
MOUNT (BACK UP )             </t>
  </si>
  <si>
    <t>SUN FIRE X 4150 x 64 RACK -MOUNT (TEST)</t>
  </si>
  <si>
    <t>SUN SPARK Enterprise T5121</t>
  </si>
  <si>
    <t xml:space="preserve">SUN SPARK Enterprise T-5120 </t>
  </si>
  <si>
    <t>SUN STORAGE TEK TM 6140 ARRAY STORAGE AND EXPANSION UNIT CSM 200</t>
  </si>
  <si>
    <t>SUN STORAGE TEK SL -48</t>
  </si>
  <si>
    <t>CISCO MDS 9124 MULTI LAYER FABRIC SWITCH</t>
  </si>
  <si>
    <t>HP PRO DL180 GEN9 Tape Drive</t>
  </si>
  <si>
    <t>HP PROLIANT DL120 G7 (S.NO.SGH3290Y2V) server</t>
  </si>
  <si>
    <t>DELL POWER EDGE R520 (S.NO.BZM5MV1) server</t>
  </si>
  <si>
    <t>DelL POWER EDGE (PE R 530)</t>
  </si>
  <si>
    <t>HP DL 180 G92U Rack Server</t>
  </si>
  <si>
    <t>II Network equipments</t>
  </si>
  <si>
    <t>CYBEROAM CR50IA UTM</t>
  </si>
  <si>
    <t>CYBEROAM CR25IA UTM</t>
  </si>
  <si>
    <t>CISCO 3845 Router</t>
  </si>
  <si>
    <t>CISCO SWITCH 3560</t>
  </si>
  <si>
    <t>CISCO SWITCH 6509 Core switch</t>
  </si>
  <si>
    <t>CISCO PIX 515E Fire wall</t>
  </si>
  <si>
    <t xml:space="preserve">Network Switch CISCO 3750 </t>
  </si>
  <si>
    <t>Fortinet Fortigate 300 D (Net Work equipments)</t>
  </si>
  <si>
    <t>III Bio Metric Card Reader</t>
  </si>
  <si>
    <t>BIOMETRIC CARD READER WITH ALL ACCESSORIES</t>
  </si>
  <si>
    <t>BIOMETRIC CARD READER WITH ALL ACCESSORIES (WITH SIM SLOT FOR GPRS CONN.)</t>
  </si>
  <si>
    <t>BIOMETRIC CARD READER WITH ALL ACCESSORIES (Finger Print Registration Unit)</t>
  </si>
  <si>
    <t>IV Video Conference Equipment</t>
  </si>
  <si>
    <t>AVAYA MULTIMEDIA Scopia xt5000 VC Camera</t>
  </si>
  <si>
    <t>V Laptops</t>
  </si>
  <si>
    <t>HP Pavilion 15 - P077TX</t>
  </si>
  <si>
    <t>HP Pavilion 15 - N016TU-H360</t>
  </si>
  <si>
    <t>HPLaptop 1-R-204TX</t>
  </si>
  <si>
    <t>LENOVO THINKPAD Laptop E-460</t>
  </si>
  <si>
    <t>Apple Ipad Air 2 64GB</t>
  </si>
  <si>
    <t xml:space="preserve">New Assets </t>
  </si>
  <si>
    <t>Sony Laptop VAICO VPC EH -3 A black</t>
  </si>
  <si>
    <t>HP 15 R008TX LAPTOP</t>
  </si>
  <si>
    <t>DELL LAPTOP INSP3543 Ci3</t>
  </si>
  <si>
    <t>HP Pavilion  - k106TU-x360</t>
  </si>
  <si>
    <t>MEDICAL DEPARTMENT</t>
  </si>
  <si>
    <t>Arthroscope and accessories</t>
  </si>
  <si>
    <t xml:space="preserve">Electronic equipment, Standard Fire and special perils, STFI, Earthquake, Burglary, accidental damages &amp; house breaking </t>
  </si>
  <si>
    <t xml:space="preserve">Business Loss  </t>
  </si>
  <si>
    <t>Grand Total</t>
  </si>
  <si>
    <t>Risk covered on Net basis Fire (Standard Fire Special Peril policy), Earthquake premium, STFI (Storm, Tempest, Flood and inundation) Premium</t>
  </si>
  <si>
    <r>
      <t xml:space="preserve">Goods stored/ handled at Port Container Freight Station
</t>
    </r>
    <r>
      <rPr>
        <b/>
        <sz val="11"/>
        <rFont val="Calibri"/>
        <family val="2"/>
      </rPr>
      <t>01.10.2018 to 31.03.2018</t>
    </r>
  </si>
  <si>
    <t xml:space="preserve"> </t>
  </si>
  <si>
    <t>Total Premium</t>
  </si>
  <si>
    <t xml:space="preserve">Sum  
Insured </t>
  </si>
  <si>
    <t>Risk covered</t>
  </si>
  <si>
    <t>Port Assets insured for 2018-19</t>
  </si>
  <si>
    <t>Office Buildings</t>
  </si>
  <si>
    <t>TRAFFIC DEPARTMENT</t>
  </si>
  <si>
    <t>2018-19</t>
  </si>
  <si>
    <t>2019-20</t>
  </si>
  <si>
    <t>earthquake</t>
  </si>
  <si>
    <t>stfi</t>
  </si>
  <si>
    <t>15.12.2018 rate increase</t>
  </si>
  <si>
    <t>fire tariff</t>
  </si>
  <si>
    <t>New India</t>
  </si>
  <si>
    <t>Prop for 6 months</t>
  </si>
  <si>
    <t>Actual 6 months</t>
  </si>
  <si>
    <t>Diff</t>
  </si>
  <si>
    <t>%</t>
  </si>
  <si>
    <t>United</t>
  </si>
  <si>
    <t>National</t>
  </si>
  <si>
    <t>Oriental</t>
  </si>
  <si>
    <t>Total</t>
  </si>
  <si>
    <t>Insurance Companies</t>
  </si>
  <si>
    <t>COMPARISON OF PREMIUM</t>
  </si>
  <si>
    <t>75% OF Annual Premium</t>
  </si>
  <si>
    <t>1/8th of Annual premium for 1st 3 items,75% for other</t>
  </si>
  <si>
    <t>6months Actual</t>
  </si>
  <si>
    <t>Less CFS</t>
  </si>
  <si>
    <t>Bal</t>
  </si>
  <si>
    <t>134% increase for CFS goods</t>
  </si>
  <si>
    <t>Around 50% only taken for EDP items</t>
  </si>
  <si>
    <t>% of Actual for 6 months on annual</t>
  </si>
  <si>
    <t>current replacement value</t>
  </si>
  <si>
    <t>Depreciation</t>
  </si>
  <si>
    <t>Depreciated value</t>
  </si>
  <si>
    <r>
      <t xml:space="preserve">Weigh Bridge CFS
</t>
    </r>
    <r>
      <rPr>
        <b/>
        <sz val="11"/>
        <color indexed="10"/>
        <rFont val="Calibri"/>
        <family val="2"/>
      </rPr>
      <t>(Cost Rs. 25,76,185/- adjusted against CFS grant not in Asset register , hence not valued)</t>
    </r>
  </si>
  <si>
    <r>
      <t xml:space="preserve">Multi Skimmer Minimax MM 60 W/S </t>
    </r>
    <r>
      <rPr>
        <b/>
        <sz val="12"/>
        <color indexed="10"/>
        <rFont val="Calibri"/>
        <family val="2"/>
      </rPr>
      <t>(Funded by BPCL- not in Asset register , hence not valued)</t>
    </r>
  </si>
  <si>
    <t>DREDGERS -  NEHRU SHATABDI</t>
  </si>
  <si>
    <t>01.04.1993</t>
  </si>
  <si>
    <t>Vessel Traffic Management System (VTMS)</t>
  </si>
  <si>
    <t>20.03.2009</t>
  </si>
  <si>
    <t>10 NOS. STEEL BUOYS WITH GAS POWERED LIGHTING SYST</t>
  </si>
  <si>
    <t>10.01.2003</t>
  </si>
  <si>
    <t>Polyethylene Navigational Buoys</t>
  </si>
  <si>
    <t>22.02.2012</t>
  </si>
  <si>
    <t>STEEL BUOY S47</t>
  </si>
  <si>
    <t>24.07.2010</t>
  </si>
  <si>
    <t>STEEL BUOY S48</t>
  </si>
  <si>
    <t>Survey Equipments-2010</t>
  </si>
  <si>
    <t>14.05.2010</t>
  </si>
  <si>
    <t>Portable Pilot Unit 2 nos-Harbour Pilot</t>
  </si>
  <si>
    <t>07.07.2011</t>
  </si>
  <si>
    <t>Fire fighting facility at Q4 berth</t>
  </si>
  <si>
    <t>28.03.2014</t>
  </si>
  <si>
    <t>Regal 2860 Window Express-Diesel</t>
  </si>
  <si>
    <t>16.01.2009</t>
  </si>
  <si>
    <t>Speed Boat - New-Regal 1990</t>
  </si>
  <si>
    <t>45T Bollard Pull Tug-Vallarpadam</t>
  </si>
  <si>
    <t>31.03.2010</t>
  </si>
  <si>
    <t>45T Bollard Pull Tug- Vypeen</t>
  </si>
  <si>
    <t>TUG FOR SHIPPING -  M.V.BAALI</t>
  </si>
  <si>
    <t>03.04.1998</t>
  </si>
  <si>
    <t>OIL BERTH</t>
  </si>
  <si>
    <t>06.04.1986</t>
  </si>
  <si>
    <t>Cathodic Protection  at COT</t>
  </si>
  <si>
    <t>27.02.2012</t>
  </si>
  <si>
    <t>Fire Fighting Facilities  at CoT</t>
  </si>
  <si>
    <t>31.05.2011</t>
  </si>
  <si>
    <t>21.08.2014</t>
  </si>
  <si>
    <t>RE-CONSTRUCTION OF Q1 BERTH FOR 55M IN M.WHARF</t>
  </si>
  <si>
    <t>13.03.2016</t>
  </si>
  <si>
    <t>RECONSTRUCTION OF BTP</t>
  </si>
  <si>
    <t>01.04.2001</t>
  </si>
  <si>
    <t>Reconstruction of NCB</t>
  </si>
  <si>
    <t>05.02.2009</t>
  </si>
  <si>
    <t>Reach Stacker 45t</t>
  </si>
  <si>
    <t>02.11.2011</t>
  </si>
  <si>
    <t>Mobile Harbour Crane MHC-01</t>
  </si>
  <si>
    <t>31.10.2012</t>
  </si>
  <si>
    <t>Forlk Lift Truck  FLT36/12</t>
  </si>
  <si>
    <t>27.11.2012</t>
  </si>
  <si>
    <t>Forlk Lift Truck  FLT37/12</t>
  </si>
  <si>
    <t>Reach Stacher 45T - HDRS-2</t>
  </si>
  <si>
    <t>04.08.2016</t>
  </si>
  <si>
    <t>3Ton Forlk Lift Truck  FLT38/16 - KL43 J3818</t>
  </si>
  <si>
    <t>01.11.2016</t>
  </si>
  <si>
    <t>3Ton Forlk Lift Truck  FLT39/16 - KL43 J3830</t>
  </si>
  <si>
    <t>5Ton Forlk Lift Truck  FLT40/16 - KL43 J3820</t>
  </si>
  <si>
    <t>110 kV Subsation at Wellingdon Island</t>
  </si>
  <si>
    <t>31.01.2003</t>
  </si>
  <si>
    <t>01.04.2004</t>
  </si>
  <si>
    <t>Marine Unloading Arm No.03 at COT</t>
  </si>
  <si>
    <t>20.12.2013</t>
  </si>
  <si>
    <t>Marine Unloading Arm No.04 at COT</t>
  </si>
  <si>
    <t>Marine Unloading Arm No.06 at COT</t>
  </si>
  <si>
    <t>Bio-Metric Acceess Control System</t>
  </si>
  <si>
    <t>15.12.2015</t>
  </si>
  <si>
    <t>Asset description</t>
  </si>
  <si>
    <t>Cap.date</t>
  </si>
  <si>
    <t xml:space="preserve">    APC FY start</t>
  </si>
  <si>
    <t>Acquisition</t>
  </si>
  <si>
    <t xml:space="preserve">        Transfer</t>
  </si>
  <si>
    <t xml:space="preserve">      Retirement</t>
  </si>
  <si>
    <t xml:space="preserve">     Current APC</t>
  </si>
  <si>
    <t xml:space="preserve">   Dep. FY start</t>
  </si>
  <si>
    <t xml:space="preserve">      Dep.retir.</t>
  </si>
  <si>
    <t xml:space="preserve">   Dep. for year</t>
  </si>
  <si>
    <t xml:space="preserve">   Accumul. dep.</t>
  </si>
  <si>
    <t xml:space="preserve">    Curr.bk.val.</t>
  </si>
  <si>
    <t xml:space="preserve">  Bk.val.FY strt</t>
  </si>
  <si>
    <t>Asset Number</t>
  </si>
  <si>
    <t>Annx 7</t>
  </si>
  <si>
    <t>Annx 6</t>
  </si>
  <si>
    <t>Annx 9</t>
  </si>
  <si>
    <t>Annx 4</t>
  </si>
  <si>
    <t>Annx 10(b)</t>
  </si>
  <si>
    <t>Annxure</t>
  </si>
  <si>
    <t>Annx 5</t>
  </si>
  <si>
    <t>Annx 8</t>
  </si>
  <si>
    <t>Vehicle monitoring system at EW</t>
  </si>
  <si>
    <t>Vehicle monitoring system at MW</t>
  </si>
  <si>
    <t>23.01.2015</t>
  </si>
  <si>
    <t>Reconstructed Mattancherry Wharf-Phase1</t>
  </si>
  <si>
    <t>10.12.2010</t>
  </si>
  <si>
    <t>Transit Shed Q2, Q3 &amp; Q4- matt. Wharf</t>
  </si>
  <si>
    <t>2 Transit Sheds</t>
  </si>
  <si>
    <t>10.04.1968</t>
  </si>
  <si>
    <t>New Transit Shed</t>
  </si>
  <si>
    <t>Transit shed Q6 - EKM Wharf &amp; 
Transit Shed Q2, Q3 &amp; Q4- matt. Wharf</t>
  </si>
  <si>
    <t>Transit shed Q6 - Ekm Wharf</t>
  </si>
  <si>
    <t xml:space="preserve">Over Flow Shed OFS 8 - Ekm Wharf </t>
  </si>
  <si>
    <t>OFS no. IX</t>
  </si>
  <si>
    <t>08.04.1974</t>
  </si>
  <si>
    <t>Q1 overflow Shed</t>
  </si>
  <si>
    <t>OFS - X  - ERNAKULAM WHARF</t>
  </si>
  <si>
    <t>05.04.1986</t>
  </si>
  <si>
    <t>RE-CONSTRUCTION OF 1 OVERFLOW SHED 90M x 2M AT MAT</t>
  </si>
  <si>
    <t>RE-CONSTRUCTION OF OVERFLOW SHED NO:II AT MATTANCH</t>
  </si>
  <si>
    <t>RECONSTRUCTION OF OVERFLOW SHED NO.1 AT  MW IMPROV</t>
  </si>
  <si>
    <t>26.03.1986</t>
  </si>
  <si>
    <t>CONSTRUCTION OF OVERFLOW SHED NO.3 INSIDE MW</t>
  </si>
  <si>
    <t>Electrical Section in OFS No.3, MW</t>
  </si>
  <si>
    <t>Over Flow Shed OFS 8 - Ekm Wharf  &amp; 
Over Flow Shed OFS 5, 6 &amp; 7 - Matt Wharf</t>
  </si>
  <si>
    <t>WAREHOUSE 300 x 70 INSIDE EKM WHARF</t>
  </si>
  <si>
    <t>Rewiring of warehouses in EKM Wharf</t>
  </si>
  <si>
    <t>07.04.1976</t>
  </si>
  <si>
    <t>08.04.2013</t>
  </si>
  <si>
    <t>WAREHOUSE 400 x 90 OUTSIDE EKM WHARF</t>
  </si>
  <si>
    <t>Ware House No. 1,2,3,4 in Matt Wharf</t>
  </si>
  <si>
    <t>WAREHOUSE MATTANCHERY WHARF</t>
  </si>
  <si>
    <t>WAREHOUSE 383 x 90 NORTH OF TEA WAREHOUSE</t>
  </si>
  <si>
    <t>3rd WAREHOUSE</t>
  </si>
  <si>
    <t>NEW WAREHOUSE FOR FOUR BERTH WHARF</t>
  </si>
  <si>
    <t>10.04.1967</t>
  </si>
  <si>
    <t>20300
 Sq.ft.</t>
  </si>
  <si>
    <t>OTB IN EKM CHANNEL IN THE PIPELINE CONNECTION</t>
  </si>
  <si>
    <t>CONSTRUCTION OF A NEW OTB IN EKM CHANNEL</t>
  </si>
  <si>
    <t>SUPER TANKER OIL TERMINAL</t>
  </si>
  <si>
    <t>Repairs to pedestal &amp; flooring of COT</t>
  </si>
  <si>
    <t>08.04.1978</t>
  </si>
  <si>
    <t>12.03.2014</t>
  </si>
  <si>
    <t>Painting of piles, girders, structures at COT</t>
  </si>
  <si>
    <t>29.01.2015</t>
  </si>
  <si>
    <r>
      <t xml:space="preserve">SAGARA </t>
    </r>
    <r>
      <rPr>
        <b/>
        <sz val="12"/>
        <color indexed="10"/>
        <rFont val="Calibri"/>
        <family val="2"/>
      </rPr>
      <t xml:space="preserve"> (Adjusted Against Grant - Crusie passenger facilitation Centre)</t>
    </r>
  </si>
  <si>
    <r>
      <t>SAMUDRIKA</t>
    </r>
    <r>
      <rPr>
        <sz val="12"/>
        <color indexed="10"/>
        <rFont val="Calibri"/>
        <family val="2"/>
      </rPr>
      <t xml:space="preserve"> (Adjusted Against Grant - Crusie passenger facilitation Centre)</t>
    </r>
  </si>
  <si>
    <r>
      <t>Customs Jetty</t>
    </r>
    <r>
      <rPr>
        <b/>
        <sz val="11"/>
        <color indexed="10"/>
        <rFont val="Calibri"/>
        <family val="2"/>
      </rPr>
      <t xml:space="preserve"> (Under CWIP)</t>
    </r>
  </si>
  <si>
    <t>ADMINISTRATIVE OFFICE</t>
  </si>
  <si>
    <t>Administraive Office-Flooring to DCs office</t>
  </si>
  <si>
    <t>30.05.2010</t>
  </si>
  <si>
    <t>ADMINISTRATION BLOCK</t>
  </si>
  <si>
    <t>EXTN. TO ADMN. BLOCK</t>
  </si>
  <si>
    <t>ADDL. OFFICE BUILDING FOR PORT ON W.ISLAND</t>
  </si>
  <si>
    <t>09.04.1972</t>
  </si>
  <si>
    <t>11.04.1965</t>
  </si>
  <si>
    <t>OLD OFFICE BUILDING</t>
  </si>
  <si>
    <t>03.05.1971</t>
  </si>
  <si>
    <t>ADMINISTRATIVE OFFICE-Re-arrangement of CE offices</t>
  </si>
  <si>
    <t>23.03.2015</t>
  </si>
  <si>
    <t>NEW ADMINISTRATION BUILDING</t>
  </si>
  <si>
    <t>NEW ADMINISTRATION BUILDING-Elec Works Board Room</t>
  </si>
  <si>
    <t>NEW ADMN BLDG- CONFERENCE HALL WALL PANNELING</t>
  </si>
  <si>
    <t>NEW ADMN BLDG - MODULR WORK STATION OF HCM</t>
  </si>
  <si>
    <t>20.01.1998</t>
  </si>
  <si>
    <t>16.10.2008</t>
  </si>
  <si>
    <t>30.06.2014</t>
  </si>
  <si>
    <t>11.12.2015</t>
  </si>
  <si>
    <t>NEW OFFICE BUILDING</t>
  </si>
  <si>
    <t>14.04.1986</t>
  </si>
  <si>
    <t>Accounts Office</t>
  </si>
  <si>
    <t>11.04.1968</t>
  </si>
  <si>
    <t>CAD Scooter Shed (AC Sheet)</t>
  </si>
  <si>
    <t>04.04.1978</t>
  </si>
  <si>
    <t>Dy.Chief Accounts office</t>
  </si>
  <si>
    <t>ADDITIONS AND ALTERATIONS TO THE CAD BUILDING  FOR</t>
  </si>
  <si>
    <t>31.03.1986</t>
  </si>
  <si>
    <t>RE-ROOFING FINANCE DEPRTMENT BUILDING</t>
  </si>
  <si>
    <t>10.08.2015</t>
  </si>
  <si>
    <t>BANK CUM OFFICE BUILDING IN CAD COMPOUND</t>
  </si>
  <si>
    <t>Addition to Old Chairman's building</t>
  </si>
  <si>
    <t>31.03.2009</t>
  </si>
  <si>
    <t>PROVISION FOR INSTALLING 500 KVA SUBSTATION</t>
  </si>
  <si>
    <t>08.04.1976</t>
  </si>
  <si>
    <t>PROVIDING 11 KVA FROM MATTANCHERY HALT  TO MATTANC</t>
  </si>
  <si>
    <t>09.04.1973</t>
  </si>
  <si>
    <t>Gross Block</t>
  </si>
  <si>
    <t>WDV</t>
  </si>
  <si>
    <t>As per valuation report</t>
  </si>
  <si>
    <t>As per Asset register</t>
  </si>
  <si>
    <t>Scrap</t>
  </si>
  <si>
    <t>As per Present Insurance Policy</t>
  </si>
  <si>
    <t>As per Valuation Report</t>
  </si>
  <si>
    <t xml:space="preserve">Note: While checking for assets insured in the Fixed Asset Refister, we are getting multiple line items with similar discription. So the break up of assets as per Fixed Asset Register is shown in next sheet as Annexures. </t>
  </si>
  <si>
    <t xml:space="preserve">Certain items like Computer equipments which are item wise shown in the insured list are not able to be traced from Fixed Asset Register. It is purchased as a part of upgradation of Computer instalations capitalised as a single line item in teh Fixed Asset Register. </t>
  </si>
  <si>
    <t>Certain items which are purchased using Grant from Ministry are also not in the Asset Register. Remarkjs shown against each asset</t>
  </si>
  <si>
    <t>Asset Code</t>
  </si>
  <si>
    <t>Useful Life</t>
  </si>
  <si>
    <t xml:space="preserve">Residual Life </t>
  </si>
  <si>
    <t>Actual Life</t>
  </si>
  <si>
    <t>Current Replacement Value</t>
  </si>
  <si>
    <t>Depriciation</t>
  </si>
  <si>
    <t>Depriciated Value</t>
  </si>
  <si>
    <t>STEEL BUOY S49</t>
  </si>
  <si>
    <t>STEEL BUOY S50</t>
  </si>
  <si>
    <t>STEEL BUOY S51</t>
  </si>
  <si>
    <t>STEEL BUOY S52</t>
  </si>
  <si>
    <t>STEEL BUOY S53</t>
  </si>
  <si>
    <t>OIL BERTH - IDP FIREFIGHTING FACILITIES.</t>
  </si>
  <si>
    <t>Forklift Trucks (2 nos.) Kohmatsu</t>
  </si>
  <si>
    <t>Fork Lift - 3 Tonnes Voltas
Model No.DVX 30 GATP HVT 2125</t>
  </si>
  <si>
    <t>Fork Lift - 5 Tonnes Voltas
Model No.DVX  506 AT PD HVT 2100</t>
  </si>
  <si>
    <t>Power Supply to Vallarpadam SEZ</t>
  </si>
  <si>
    <t>28.06.2010</t>
  </si>
  <si>
    <t>WEIGHBRIDGE AT CFS</t>
  </si>
  <si>
    <t>Weighbridge at CFS</t>
  </si>
  <si>
    <t>28.06.2015</t>
  </si>
  <si>
    <t>SKY LIFT</t>
  </si>
  <si>
    <t>Sky Lift Telescopic model in TATA LPT 90KL43K5075</t>
  </si>
  <si>
    <t>28.06.2018</t>
  </si>
  <si>
    <t>Solar Panel</t>
  </si>
  <si>
    <t>31.05.2019</t>
  </si>
  <si>
    <t>Grid Connected Roof top Solar Panel 150 KW</t>
  </si>
  <si>
    <t>Grid Connected Solar Panel 100 KW</t>
  </si>
  <si>
    <t>Cables, Transformers, VCBs, RMUs, etc.</t>
  </si>
  <si>
    <t>Cables, Transformers, etc.</t>
  </si>
  <si>
    <t xml:space="preserve">Over Flow Shed OFS 5, 6 </t>
  </si>
  <si>
    <t>2 X 21500 Sq.ft.</t>
  </si>
  <si>
    <t>3X 47000 Sq.ft.</t>
  </si>
  <si>
    <t>Over Flow Shed OFS 5, 6 - Matt Wharf</t>
  </si>
  <si>
    <t>CFS Building</t>
  </si>
  <si>
    <t>107000 sq feet</t>
  </si>
  <si>
    <t>107000 sq. feet</t>
  </si>
  <si>
    <t>Jetty at Willingdon Island</t>
  </si>
  <si>
    <t>Construction of Customs Jetty at Willingdon</t>
  </si>
  <si>
    <t>1345.49 sq. feet</t>
  </si>
  <si>
    <t>At Puthuvypeen</t>
  </si>
  <si>
    <t>Construction of Barge Jetty at Puthuvypeen</t>
  </si>
  <si>
    <t>18385 sq feet</t>
  </si>
  <si>
    <t>As suggested by TM</t>
  </si>
  <si>
    <t>Market value</t>
  </si>
  <si>
    <t>Insured Value</t>
  </si>
  <si>
    <t>Remarks</t>
  </si>
  <si>
    <t>justification for the insured value</t>
  </si>
  <si>
    <t xml:space="preserve">No replacement </t>
  </si>
  <si>
    <t>5% of the scrap value is taken as market value</t>
  </si>
  <si>
    <t xml:space="preserve">No Replacement </t>
  </si>
  <si>
    <t>Estimate for the tender Rs 7.20 cr and market value is taken @5% scrap value</t>
  </si>
  <si>
    <t>replacement of one buoy is 81149047/26=3121117. Out of 26 buoys 5 will considered for replacement and 5 will repaired in a year. Hence replacement cost for 5 will be 3121117 x5=15605585 AND repairs is taken @3% of the replacement cost of one buoy which comes out to Rs. 3121117x3% x5=468167 . Thus total is 16073752 i.e. to say 16000000</t>
  </si>
  <si>
    <t xml:space="preserve">Replacement </t>
  </si>
  <si>
    <t>Its an electronics part hence no repairs and full replacement</t>
  </si>
  <si>
    <t>This is not Port's asset hence no insurance</t>
  </si>
  <si>
    <t>Replacement Yes</t>
  </si>
  <si>
    <t xml:space="preserve">Total replacement </t>
  </si>
  <si>
    <t>Replacement &amp; Repairs</t>
  </si>
  <si>
    <t>Only 4 Fire monitoring units complete replacement for Rs. 15000000 and remaining Rs. 25 lakh for repairs of pumps and pipeline</t>
  </si>
  <si>
    <t>Same as kept last insurance amount</t>
  </si>
  <si>
    <t>Agreed Value</t>
  </si>
  <si>
    <t>This will be convered in the marine hull policy at agreed value which is either the 75% of the replacement cost as repairs or replacement cost . If repairs are less than 75% then we will get actual . If more than 75% it will be restricted to 75%. 75% is 10375796 which is rounded off to Rs. 10400000</t>
  </si>
  <si>
    <t>Agreed Value as full value of replacement</t>
  </si>
  <si>
    <t>This will be convered in the marine hull policy at agreed value which is either the 75% of the replacement cost as repairs or replacement cost . If repairs are less than 75% then we will get actual . If more than 75% it will be restricted to 75%. We have taken replacement cost as agreed value here</t>
  </si>
  <si>
    <t>Full Replacement cost</t>
  </si>
  <si>
    <t>Life is 20 years . Purchased in 2013. 3 marine unloading arms. Complete replacement</t>
  </si>
  <si>
    <t>Insured  value</t>
  </si>
  <si>
    <t>Year of Purchase</t>
  </si>
  <si>
    <t>Not to be insured since asset omitted from the EDP list</t>
  </si>
  <si>
    <t>Lenovo V110 I5-7200u Laptop</t>
  </si>
  <si>
    <t>Remarls</t>
  </si>
  <si>
    <t>Replacement of 5 byous  and repairs of 5 at one time considered</t>
  </si>
  <si>
    <t>Market value has been taken as Agreed Value</t>
  </si>
  <si>
    <t>Replacement cost of only civil structure considered. Other cost of cathodic protection, fire fighting facitlities at COT as per the last year figure.</t>
  </si>
  <si>
    <t>Applied 15% of replacement cost for repairs</t>
  </si>
  <si>
    <t>Applied  50% of replacement cost for repairs</t>
  </si>
  <si>
    <t>Life of 8 years  is over hence took 5% scrap</t>
  </si>
  <si>
    <t>The value of the imported item in the reach stacker is considered which is 40% of the value of the Reach staker i.e. 20 crores</t>
  </si>
  <si>
    <t>Only repairs are considered in case of damage restricting it to its remaining life value</t>
  </si>
  <si>
    <t>The value of the imported item in the reach stacker is considered which is 40% of the value of the Reach staker i.e. 2.5 crores</t>
  </si>
  <si>
    <t>only repairs considered for insured value</t>
  </si>
  <si>
    <t>2 Trasformers - Rs. 5 crores, 2 circuit brakers -Rs. 2crore</t>
  </si>
  <si>
    <t>Life is over. No insurance required</t>
  </si>
  <si>
    <t>Life is 30 years .15 years over.  Insured for 2 panel repairs for Rs. 6 lakh</t>
  </si>
  <si>
    <t>No insurance required</t>
  </si>
  <si>
    <t>8 VCBs are there . It is expected to replace only one at the cost of Rs.8 lakh</t>
  </si>
  <si>
    <t>The monitoring system in the yard is succeptible to damage which needs to be insured . Which is inside the room is safe. Hence insured only for the system in the yard for Rs. 1 crore</t>
  </si>
  <si>
    <t>only weigh bridges considered excuding civil structure. There are total 8 load cells costing upto Rs. 100000each. Hence provision for insurance of 5 load cess it kept</t>
  </si>
  <si>
    <t>Grid connected roof top solar plants at RNAS quarters - 150 KwP</t>
  </si>
  <si>
    <t>Life is 25 years . Installed in 2017. Replacemen of 6 inverters are considered for the insured value</t>
  </si>
  <si>
    <t>Grid connected Ground mounted solar panel at M/Halt pumphouse - 100 KwP</t>
  </si>
  <si>
    <t>completed in 2019. life is 25 years.Replacemen of 4 inverters are considered for the insured value</t>
  </si>
  <si>
    <t>Strengthening of subtransmission and distribution network at W/Island under IPDS</t>
  </si>
  <si>
    <t>Completed in 2019. Includes cables , transformers , VCBS and RMUs. Replacement value will be same. Life 35 years. Insured amount for Replacement of 3 Nos Transfformeres, VCBs 3 Nos</t>
  </si>
  <si>
    <t>Procurement of Sky Lift</t>
  </si>
  <si>
    <t>Purchased in 2018 ,life 15 years. Insured amount is towards repairs of jib hydraulic system, vehicles etc.</t>
  </si>
  <si>
    <t>Given by Traffic Department as provided to them by Customs</t>
  </si>
  <si>
    <t>Took 30% of the Replacement Cost as Insured Value</t>
  </si>
  <si>
    <t>Based on the last insurance value</t>
  </si>
  <si>
    <t>GRAND TOTAL</t>
  </si>
  <si>
    <t>15% of 736234735 for the civil works which comes out to Rs.110435210 and the remaining insurance cover for cathodic protection, fire fighting facitlities at COT as per the last year figure [110435210+14210891+13103843+315000=125275142 ]</t>
  </si>
  <si>
    <t>INSURED VALUE TO BE SEEN</t>
  </si>
  <si>
    <r>
      <t>Customs Jetty</t>
    </r>
    <r>
      <rPr>
        <b/>
        <sz val="11"/>
        <color indexed="10"/>
        <rFont val="Calibri"/>
        <family val="2"/>
      </rPr>
      <t xml:space="preserve"> </t>
    </r>
  </si>
  <si>
    <t xml:space="preserve">Weigh Bridge CFS
</t>
  </si>
  <si>
    <t>GRAND TOTAL CIVIL ENGINEERING DEPARTMENT</t>
  </si>
  <si>
    <t>GRAND TOTAL MARINE DEPARTMENT</t>
  </si>
  <si>
    <t>GRAND TOTAL OF MECHANICAL DEPARTMENT</t>
  </si>
  <si>
    <t>GRAND TOTAL OF EDP(FINANCE )DEPARTMENT</t>
  </si>
  <si>
    <t>Red to be checked</t>
  </si>
  <si>
    <t xml:space="preserve">Blue high value </t>
  </si>
  <si>
    <t xml:space="preserve">SAMUDRIKA </t>
  </si>
  <si>
    <t>GRAND TOTAL OF ALL DEPARTMENT</t>
  </si>
  <si>
    <t>CSL @15%</t>
  </si>
  <si>
    <t>PREMIUM EXPECTED @2%</t>
  </si>
  <si>
    <t>Current APC</t>
  </si>
  <si>
    <t>Current Bk Value</t>
  </si>
  <si>
    <t>Over Flow Shed OFS 5, 6 &amp; 7 - Matt Wharf</t>
  </si>
  <si>
    <t>Wreck Removal third party</t>
  </si>
  <si>
    <t>BI Loss</t>
  </si>
  <si>
    <t>Dredger</t>
  </si>
  <si>
    <t>Port Damage+Handling Equipment</t>
  </si>
  <si>
    <t>i) Wreck Removal</t>
  </si>
  <si>
    <t>ii)Redredging</t>
  </si>
  <si>
    <t>Business Interuption( Period+Limit)</t>
  </si>
  <si>
    <t>CSL Limit</t>
  </si>
  <si>
    <t>1 months</t>
  </si>
  <si>
    <t>Insurance @2%</t>
  </si>
  <si>
    <t>Insurance @0.5%</t>
  </si>
  <si>
    <t>Third Liability</t>
  </si>
  <si>
    <t>Hull Policy</t>
  </si>
  <si>
    <t>CSL</t>
  </si>
  <si>
    <t>standing charges +GP for one  month= 12.57 S&amp;W 10.97 crore ( S&amp;W General 18.85 crores S&amp;W operations70.01 crores+ S&amp;W R&amp;M=40.96 crores )+ GP for one month 19.18/12=Rs. 1.60 crore= 12.42</t>
  </si>
  <si>
    <t>Approximate Premium</t>
  </si>
  <si>
    <t xml:space="preserve">CSL </t>
  </si>
  <si>
    <t>CSL @12%</t>
  </si>
  <si>
    <t>@15%</t>
  </si>
  <si>
    <t>I</t>
  </si>
  <si>
    <t xml:space="preserve">Multi Skimmer Minimax MM 60 W/S </t>
  </si>
  <si>
    <t>II</t>
  </si>
  <si>
    <t>IV</t>
  </si>
  <si>
    <t>III</t>
  </si>
  <si>
    <t>V</t>
  </si>
  <si>
    <t>II. MARINE HULL POLICY</t>
  </si>
  <si>
    <r>
      <t>Customs Jetty</t>
    </r>
    <r>
      <rPr>
        <b/>
        <sz val="11"/>
        <color indexed="10"/>
        <rFont val="Arial"/>
        <family val="2"/>
      </rPr>
      <t xml:space="preserve"> </t>
    </r>
  </si>
  <si>
    <t>I. PORT PACKAGE POLICY</t>
  </si>
  <si>
    <t>SUMMARY</t>
  </si>
  <si>
    <t xml:space="preserve"> Sl No</t>
  </si>
  <si>
    <t>Policy</t>
  </si>
  <si>
    <t>TOTAL</t>
  </si>
  <si>
    <t xml:space="preserve">Goods stored/ handled at Port Container Freight Station
</t>
  </si>
  <si>
    <t>Dell 5491 i3</t>
  </si>
  <si>
    <t>HP ProBook 450 G5 Notebook PC</t>
  </si>
  <si>
    <r>
      <t xml:space="preserve">HP 348G7 Core i7 10510U - </t>
    </r>
    <r>
      <rPr>
        <b/>
        <sz val="12"/>
        <rFont val="Arial"/>
        <family val="2"/>
      </rPr>
      <t>2nos</t>
    </r>
    <r>
      <rPr>
        <sz val="11"/>
        <rFont val="Arial"/>
        <family val="2"/>
      </rPr>
      <t>.</t>
    </r>
  </si>
  <si>
    <t>VTMS Equipment newly added</t>
  </si>
  <si>
    <t>Newly added</t>
  </si>
  <si>
    <t>Hull Policy (vessels sum insured)</t>
  </si>
  <si>
    <t>Total operating Revenue (Excluding Estate Rentals)- Rs. 539.41 crore- Variable Cost Rs. 138.25 crore= Rs. 401.16crore/ 12= 33.43 crore say 33 crore.</t>
  </si>
  <si>
    <t>Last year</t>
  </si>
  <si>
    <t>Operating Revenue (Excluding estate rentals)</t>
  </si>
  <si>
    <t>Cargo Handling &amp; Storage charges</t>
  </si>
  <si>
    <t xml:space="preserve">Port &amp; Dock charges </t>
  </si>
  <si>
    <t>Variable Cost</t>
  </si>
  <si>
    <t>Salaries &amp; Wages (General)</t>
  </si>
  <si>
    <t>Incentive</t>
  </si>
  <si>
    <t>Salaries &amp; Wages (Operational)</t>
  </si>
  <si>
    <t>Salaries &amp; Wages (R&amp;M)</t>
  </si>
  <si>
    <t>Leave Travel Concession</t>
  </si>
  <si>
    <t>Salaries (Port Security)</t>
  </si>
  <si>
    <t>Salaries &amp; Wages-Medical</t>
  </si>
  <si>
    <t>III Laptops</t>
  </si>
  <si>
    <t>SUB - SCHEDULES TO PROFIT &amp; LOSS ACCOUNT FOR THE YEAR ENDED 31.03.2021</t>
  </si>
  <si>
    <t>EXPENDITURE</t>
  </si>
  <si>
    <t>2020-21</t>
  </si>
  <si>
    <t xml:space="preserve">Cargo handling &amp; Storage </t>
  </si>
  <si>
    <t>Handling &amp; Storage of general cargo at sheds &amp; wharves</t>
  </si>
  <si>
    <t>Handling &amp; Storage of containers</t>
  </si>
  <si>
    <t>Operation &amp; maintenance of crane</t>
  </si>
  <si>
    <t>Handling of Petroleum, Oil &amp; Lubricants</t>
  </si>
  <si>
    <t>Expenditure on general facilities at wharves &amp; boundaries</t>
  </si>
  <si>
    <t>Administration and General expenses</t>
  </si>
  <si>
    <t>New Minor works</t>
  </si>
  <si>
    <t>Port &amp; Dock facilities including Pilotage</t>
  </si>
  <si>
    <t xml:space="preserve">Towing, Berthing and Mooring </t>
  </si>
  <si>
    <t>Pilotage</t>
  </si>
  <si>
    <t>Water supply to shipping</t>
  </si>
  <si>
    <t>Fire fighting</t>
  </si>
  <si>
    <t>Dredging and Marine survey</t>
  </si>
  <si>
    <t>Harbour Patroling</t>
  </si>
  <si>
    <t>Operation &amp; Mtnce. of Navigational aids</t>
  </si>
  <si>
    <t>Administration and general expenses</t>
  </si>
  <si>
    <t>Rentable land and buildings</t>
  </si>
  <si>
    <t>Estate maintenance</t>
  </si>
  <si>
    <t>Administration &amp; General expenses</t>
  </si>
  <si>
    <t>Management &amp; General Administration</t>
  </si>
  <si>
    <t>Management &amp; Secretariat expenses</t>
  </si>
  <si>
    <t>Medical expenses</t>
  </si>
  <si>
    <t>Stores keeping</t>
  </si>
  <si>
    <t>Accounting and Auditing</t>
  </si>
  <si>
    <t>Head office building &amp; telephones</t>
  </si>
  <si>
    <t>Engineering &amp; workshop administration</t>
  </si>
  <si>
    <t>Overhead and sundry expenses</t>
  </si>
  <si>
    <t>F&amp;M</t>
  </si>
  <si>
    <t>Dry Docking of Floating Crafts</t>
  </si>
  <si>
    <t>Special R&amp;M arranged through Contract-Roads</t>
  </si>
  <si>
    <t>Special R&amp;M arranged through Contract-Buildings</t>
  </si>
  <si>
    <t>Water Charges</t>
  </si>
  <si>
    <t>Electricity Charges</t>
  </si>
  <si>
    <t>Hire of Boats, Tugs &amp; Launches</t>
  </si>
  <si>
    <t>Maintenance Dredging</t>
  </si>
  <si>
    <t>Sundry Expense</t>
  </si>
  <si>
    <t>Self Consumption-Electricity</t>
  </si>
  <si>
    <t>d. Office Buildings</t>
  </si>
  <si>
    <t xml:space="preserve"> CSL </t>
  </si>
  <si>
    <t xml:space="preserve">Market Value for last year </t>
  </si>
  <si>
    <t>Less</t>
  </si>
  <si>
    <t>Lenovo Laptop v15</t>
  </si>
  <si>
    <t>Add</t>
  </si>
  <si>
    <t>New Market Value</t>
  </si>
  <si>
    <t>Business Interruption</t>
  </si>
  <si>
    <t>Operating Income 21-22</t>
  </si>
  <si>
    <t>Operating Expenses</t>
  </si>
  <si>
    <t>Operating Profit</t>
  </si>
  <si>
    <t>One month operating profit</t>
  </si>
  <si>
    <t xml:space="preserve">Rounded to </t>
  </si>
  <si>
    <t>29 lakhs</t>
  </si>
  <si>
    <t>INSURANCE OF PORT ASSETS (01.01.2024 TO 31.12.2024)</t>
  </si>
  <si>
    <t xml:space="preserve">HP 250 G8 Notebook </t>
  </si>
  <si>
    <t>Addition</t>
  </si>
  <si>
    <t>e. Construction of Barge Jetty at Puthuvypeen</t>
  </si>
  <si>
    <t>f. New Cruise Terminal Building</t>
  </si>
  <si>
    <t>g. South Coal Berth</t>
  </si>
  <si>
    <t>Dell Inspiron 7490 i5</t>
  </si>
  <si>
    <t>CFS goods (99.84-91.97 )</t>
  </si>
  <si>
    <t>South Coal Berth</t>
  </si>
  <si>
    <t>Additional as per Sathyan sirs instuction</t>
  </si>
  <si>
    <t>to be excluded as per mail from Rajeev R EDP dated 06.11.2023</t>
  </si>
  <si>
    <t>to be included as per mail from Rajeev R EDP dated 06.11.2023</t>
  </si>
  <si>
    <t>Additional as per TM's email dated 16.11.2023</t>
  </si>
  <si>
    <t xml:space="preserve">Particulars </t>
  </si>
  <si>
    <t>CPA 2023-24</t>
  </si>
  <si>
    <t>Marine Department</t>
  </si>
  <si>
    <t>Civil Engineering Department</t>
  </si>
  <si>
    <t>EDP (Finance Department)</t>
  </si>
  <si>
    <t>Traffic Department</t>
  </si>
  <si>
    <t>Mechanical Engineering Department</t>
  </si>
  <si>
    <t xml:space="preserve">Total </t>
  </si>
  <si>
    <t>Total of A + B</t>
  </si>
  <si>
    <t xml:space="preserve">A. Section 2 - Real &amp; Personal Property </t>
  </si>
  <si>
    <t xml:space="preserve">B. Section 3 - Handling Equipment </t>
  </si>
  <si>
    <t xml:space="preserve">CAD Building/FA&amp;CAO's Office </t>
  </si>
  <si>
    <t>to be excluded as they are now leased out</t>
  </si>
  <si>
    <t>Bank Building/FA&amp;CAO's office</t>
  </si>
  <si>
    <t>CAD Building / FA&amp;CAO's Office - to be excluded from assets</t>
  </si>
  <si>
    <t>Bank building / FA&amp;CAO's office - to be excluded from assets</t>
  </si>
  <si>
    <t xml:space="preserve">CAD Building / FA&amp;CAO's Office - to be excluded from assets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</si>
</sst>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 #,##0.00_ ;_ * \-#,##0.00_ ;_ * &quot;-&quot;??_ ;_ @_ "/>
    <numFmt numFmtId="165" formatCode="00000"/>
    <numFmt numFmtId="166" formatCode="_(* #,##0_);_(* \(#,##0\);_(* &quot;-&quot;??_);_(@_)"/>
    <numFmt numFmtId="167" formatCode="_ * #,##0_ ;_ * \-#,##0_ ;_ * &quot;-&quot;??_ ;_ @_ "/>
    <numFmt numFmtId="168" formatCode="[$INR]\ #,##0"/>
  </numFmts>
  <fonts count="38" x14ac:knownFonts="1">
    <font>
      <sz val="11"/>
      <color theme="1"/>
      <name val="Calibri"/>
      <family val="2"/>
      <scheme val="minor"/>
    </font>
    <font>
      <b/>
      <sz val="11"/>
      <name val="Calibri"/>
      <family val="2"/>
    </font>
    <font>
      <b/>
      <sz val="12"/>
      <color indexed="10"/>
      <name val="Calibri"/>
      <family val="2"/>
    </font>
    <font>
      <b/>
      <sz val="11"/>
      <color indexed="10"/>
      <name val="Calibri"/>
      <family val="2"/>
    </font>
    <font>
      <sz val="9"/>
      <color indexed="81"/>
      <name val="Tahoma"/>
      <family val="2"/>
    </font>
    <font>
      <b/>
      <sz val="9"/>
      <color indexed="81"/>
      <name val="Tahoma"/>
      <family val="2"/>
    </font>
    <font>
      <sz val="12"/>
      <color indexed="10"/>
      <name val="Calibri"/>
      <family val="2"/>
    </font>
    <font>
      <sz val="11"/>
      <name val="Arial"/>
      <family val="2"/>
    </font>
    <font>
      <b/>
      <sz val="11"/>
      <name val="Arial"/>
      <family val="2"/>
    </font>
    <font>
      <b/>
      <sz val="14"/>
      <name val="Arial"/>
      <family val="2"/>
    </font>
    <font>
      <b/>
      <sz val="11"/>
      <color indexed="10"/>
      <name val="Arial"/>
      <family val="2"/>
    </font>
    <font>
      <b/>
      <u/>
      <sz val="11"/>
      <name val="Arial"/>
      <family val="2"/>
    </font>
    <font>
      <b/>
      <sz val="12"/>
      <name val="Arial"/>
      <family val="2"/>
    </font>
    <font>
      <sz val="12"/>
      <name val="Book Antiqua"/>
      <family val="1"/>
    </font>
    <font>
      <sz val="10"/>
      <name val="Book Antiqua"/>
      <family val="1"/>
    </font>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b/>
      <sz val="12"/>
      <name val="Calibri"/>
      <family val="2"/>
      <scheme val="minor"/>
    </font>
    <font>
      <b/>
      <sz val="15"/>
      <name val="Calibri"/>
      <family val="2"/>
      <scheme val="minor"/>
    </font>
    <font>
      <sz val="12"/>
      <name val="Calibri"/>
      <family val="2"/>
      <scheme val="minor"/>
    </font>
    <font>
      <b/>
      <sz val="13"/>
      <name val="Calibri"/>
      <family val="2"/>
      <scheme val="minor"/>
    </font>
    <font>
      <sz val="12"/>
      <color theme="1"/>
      <name val="Calibri"/>
      <family val="2"/>
      <scheme val="minor"/>
    </font>
    <font>
      <sz val="11"/>
      <color theme="3"/>
      <name val="Calibri"/>
      <family val="2"/>
      <scheme val="minor"/>
    </font>
    <font>
      <b/>
      <u/>
      <sz val="13"/>
      <name val="Calibri"/>
      <family val="2"/>
      <scheme val="minor"/>
    </font>
    <font>
      <sz val="12"/>
      <color rgb="FFFF0000"/>
      <name val="Calibri"/>
      <family val="2"/>
      <scheme val="minor"/>
    </font>
    <font>
      <sz val="13"/>
      <name val="Calibri"/>
      <family val="2"/>
      <scheme val="minor"/>
    </font>
    <font>
      <sz val="18"/>
      <name val="Calibri"/>
      <family val="2"/>
      <scheme val="minor"/>
    </font>
    <font>
      <sz val="16"/>
      <name val="Calibri"/>
      <family val="2"/>
      <scheme val="minor"/>
    </font>
    <font>
      <b/>
      <sz val="14"/>
      <name val="Calibri"/>
      <family val="2"/>
      <scheme val="minor"/>
    </font>
    <font>
      <b/>
      <sz val="16"/>
      <name val="Calibri"/>
      <family val="2"/>
      <scheme val="minor"/>
    </font>
    <font>
      <sz val="11"/>
      <color theme="1"/>
      <name val="Arial"/>
      <family val="2"/>
    </font>
    <font>
      <b/>
      <sz val="11"/>
      <color theme="1"/>
      <name val="Arial"/>
      <family val="2"/>
    </font>
    <font>
      <sz val="11"/>
      <color theme="3"/>
      <name val="Arial"/>
      <family val="2"/>
    </font>
    <font>
      <b/>
      <sz val="11"/>
      <color rgb="FF000000"/>
      <name val="Arial"/>
      <family val="2"/>
    </font>
    <font>
      <b/>
      <u/>
      <sz val="11"/>
      <color theme="1"/>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C00000"/>
        <bgColor indexed="64"/>
      </patternFill>
    </fill>
    <fill>
      <patternFill patternType="solid">
        <fgColor rgb="FF00B0F0"/>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3">
    <xf numFmtId="0" fontId="0" fillId="0" borderId="0"/>
    <xf numFmtId="43" fontId="15" fillId="0" borderId="0" applyFont="0" applyFill="0" applyBorder="0" applyAlignment="0" applyProtection="0"/>
    <xf numFmtId="0" fontId="14" fillId="0" borderId="0"/>
  </cellStyleXfs>
  <cellXfs count="725">
    <xf numFmtId="0" fontId="0" fillId="0" borderId="0" xfId="0"/>
    <xf numFmtId="0" fontId="18" fillId="0" borderId="0" xfId="0" applyFont="1" applyFill="1" applyAlignment="1">
      <alignment horizontal="center" vertical="center"/>
    </xf>
    <xf numFmtId="0" fontId="18" fillId="0" borderId="0" xfId="0" applyFont="1" applyFill="1" applyAlignment="1">
      <alignment vertical="center" wrapText="1"/>
    </xf>
    <xf numFmtId="0" fontId="18" fillId="0" borderId="0" xfId="0" applyFont="1" applyFill="1" applyAlignment="1">
      <alignment vertical="center"/>
    </xf>
    <xf numFmtId="0" fontId="19" fillId="0" borderId="0" xfId="0" applyFont="1" applyFill="1" applyBorder="1" applyAlignment="1">
      <alignment horizontal="center" vertical="center"/>
    </xf>
    <xf numFmtId="0" fontId="19" fillId="0" borderId="0" xfId="0" applyFont="1" applyFill="1" applyAlignment="1">
      <alignment horizontal="center" vertical="center"/>
    </xf>
    <xf numFmtId="0" fontId="20" fillId="0" borderId="1" xfId="0" applyFont="1" applyFill="1" applyBorder="1" applyAlignment="1">
      <alignment horizontal="center" vertical="center" wrapText="1"/>
    </xf>
    <xf numFmtId="0" fontId="21" fillId="0" borderId="1" xfId="0" applyFont="1" applyFill="1" applyBorder="1" applyAlignment="1">
      <alignment horizontal="left" vertical="top"/>
    </xf>
    <xf numFmtId="0" fontId="19" fillId="0" borderId="1" xfId="0" applyFont="1" applyFill="1" applyBorder="1" applyAlignment="1">
      <alignment horizontal="center" vertical="center"/>
    </xf>
    <xf numFmtId="0" fontId="19" fillId="0" borderId="1" xfId="0" applyFont="1" applyFill="1" applyBorder="1" applyAlignment="1">
      <alignment vertical="top"/>
    </xf>
    <xf numFmtId="0" fontId="18" fillId="0" borderId="1" xfId="0" applyFont="1" applyFill="1" applyBorder="1" applyAlignment="1">
      <alignment horizontal="center" vertical="top"/>
    </xf>
    <xf numFmtId="0" fontId="22" fillId="0" borderId="1" xfId="0" applyFont="1" applyFill="1" applyBorder="1" applyAlignment="1">
      <alignment horizontal="left" vertical="top" wrapText="1"/>
    </xf>
    <xf numFmtId="1" fontId="18" fillId="0" borderId="1" xfId="0" applyNumberFormat="1" applyFont="1" applyFill="1" applyBorder="1" applyAlignment="1">
      <alignment horizontal="left" vertical="top" wrapText="1"/>
    </xf>
    <xf numFmtId="0" fontId="22" fillId="0" borderId="1" xfId="0" applyFont="1" applyFill="1" applyBorder="1" applyAlignment="1">
      <alignment horizontal="center" vertical="top" wrapText="1"/>
    </xf>
    <xf numFmtId="41" fontId="18" fillId="0" borderId="1" xfId="1" applyNumberFormat="1" applyFont="1" applyFill="1" applyBorder="1" applyAlignment="1">
      <alignment horizontal="right" vertical="top" wrapText="1"/>
    </xf>
    <xf numFmtId="3" fontId="22" fillId="0" borderId="1" xfId="0" applyNumberFormat="1" applyFont="1" applyFill="1" applyBorder="1" applyAlignment="1">
      <alignment vertical="top" wrapText="1"/>
    </xf>
    <xf numFmtId="0" fontId="18" fillId="0" borderId="1" xfId="0" applyFont="1" applyFill="1" applyBorder="1" applyAlignment="1">
      <alignment vertical="top"/>
    </xf>
    <xf numFmtId="0" fontId="22" fillId="0" borderId="1" xfId="0" applyFont="1" applyFill="1" applyBorder="1" applyAlignment="1">
      <alignment horizontal="left" vertical="top"/>
    </xf>
    <xf numFmtId="0" fontId="22" fillId="0" borderId="1" xfId="0" applyFont="1" applyFill="1" applyBorder="1" applyAlignment="1">
      <alignment horizontal="center" vertical="top"/>
    </xf>
    <xf numFmtId="41" fontId="18" fillId="0" borderId="1" xfId="1" applyNumberFormat="1" applyFont="1" applyFill="1" applyBorder="1" applyAlignment="1">
      <alignment horizontal="right" vertical="top"/>
    </xf>
    <xf numFmtId="0" fontId="20" fillId="0" borderId="1" xfId="0" applyFont="1" applyFill="1" applyBorder="1" applyAlignment="1">
      <alignment horizontal="left" vertical="top"/>
    </xf>
    <xf numFmtId="0" fontId="19" fillId="0" borderId="1" xfId="0" applyFont="1" applyFill="1" applyBorder="1" applyAlignment="1">
      <alignment horizontal="left" vertical="top"/>
    </xf>
    <xf numFmtId="0" fontId="22" fillId="0" borderId="1" xfId="0" applyFont="1" applyFill="1" applyBorder="1" applyAlignment="1">
      <alignment vertical="top" wrapText="1"/>
    </xf>
    <xf numFmtId="0" fontId="18" fillId="0" borderId="1" xfId="0" applyFont="1" applyFill="1" applyBorder="1" applyAlignment="1">
      <alignment vertical="top" wrapText="1"/>
    </xf>
    <xf numFmtId="0" fontId="18" fillId="0" borderId="1" xfId="0" applyFont="1" applyFill="1" applyBorder="1" applyAlignment="1">
      <alignment horizontal="center" vertical="top" wrapText="1"/>
    </xf>
    <xf numFmtId="0" fontId="23" fillId="0" borderId="1" xfId="0" applyFont="1" applyFill="1" applyBorder="1" applyAlignment="1">
      <alignment horizontal="left" vertical="top"/>
    </xf>
    <xf numFmtId="0" fontId="18" fillId="0" borderId="1" xfId="0" applyFont="1" applyFill="1" applyBorder="1" applyAlignment="1">
      <alignment horizontal="left" vertical="top" wrapText="1"/>
    </xf>
    <xf numFmtId="166" fontId="18" fillId="0" borderId="1" xfId="1" applyNumberFormat="1" applyFont="1" applyFill="1" applyBorder="1" applyAlignment="1">
      <alignment horizontal="right" vertical="top"/>
    </xf>
    <xf numFmtId="0" fontId="18" fillId="0" borderId="1" xfId="0" applyFont="1" applyFill="1" applyBorder="1" applyAlignment="1">
      <alignment horizontal="left" vertical="top"/>
    </xf>
    <xf numFmtId="0" fontId="18" fillId="0" borderId="1" xfId="0" applyFont="1" applyFill="1" applyBorder="1" applyAlignment="1">
      <alignment horizontal="center" vertical="center"/>
    </xf>
    <xf numFmtId="0" fontId="18" fillId="0" borderId="1" xfId="0" applyFont="1" applyFill="1" applyBorder="1" applyAlignment="1">
      <alignment horizontal="right" vertical="top"/>
    </xf>
    <xf numFmtId="0" fontId="20" fillId="0" borderId="1" xfId="0" applyFont="1" applyFill="1" applyBorder="1" applyAlignment="1">
      <alignment horizontal="center" vertical="top" wrapText="1"/>
    </xf>
    <xf numFmtId="0" fontId="18" fillId="0" borderId="1" xfId="0" applyFont="1" applyFill="1" applyBorder="1" applyAlignment="1">
      <alignment horizontal="left" vertical="center" wrapText="1"/>
    </xf>
    <xf numFmtId="0" fontId="18" fillId="0" borderId="1" xfId="0" applyFont="1" applyFill="1" applyBorder="1" applyAlignment="1">
      <alignment vertical="center" wrapText="1"/>
    </xf>
    <xf numFmtId="166" fontId="18" fillId="0" borderId="1" xfId="1" applyNumberFormat="1" applyFont="1" applyFill="1" applyBorder="1" applyAlignment="1">
      <alignment vertical="top"/>
    </xf>
    <xf numFmtId="3" fontId="18" fillId="0" borderId="0" xfId="0" applyNumberFormat="1" applyFont="1" applyFill="1" applyAlignment="1">
      <alignment horizontal="right" vertical="center"/>
    </xf>
    <xf numFmtId="0" fontId="19" fillId="0" borderId="0" xfId="0" applyFont="1" applyFill="1" applyAlignment="1">
      <alignment horizontal="right" vertical="center"/>
    </xf>
    <xf numFmtId="0" fontId="18" fillId="0" borderId="0" xfId="0" applyFont="1" applyFill="1" applyAlignment="1">
      <alignment horizontal="right" vertical="center"/>
    </xf>
    <xf numFmtId="0" fontId="0" fillId="0" borderId="1" xfId="0" applyFill="1" applyBorder="1"/>
    <xf numFmtId="0" fontId="19" fillId="0" borderId="1" xfId="0" applyFont="1" applyFill="1" applyBorder="1" applyAlignment="1">
      <alignment horizontal="right" vertical="center"/>
    </xf>
    <xf numFmtId="165" fontId="22" fillId="0" borderId="1" xfId="0" applyNumberFormat="1" applyFont="1" applyFill="1" applyBorder="1" applyAlignment="1">
      <alignment horizontal="right" vertical="top" wrapText="1"/>
    </xf>
    <xf numFmtId="3" fontId="22" fillId="0" borderId="1" xfId="0" applyNumberFormat="1" applyFont="1" applyFill="1" applyBorder="1" applyAlignment="1">
      <alignment horizontal="right" vertical="top" wrapText="1"/>
    </xf>
    <xf numFmtId="43" fontId="18" fillId="0" borderId="0" xfId="0" applyNumberFormat="1" applyFont="1" applyFill="1" applyAlignment="1">
      <alignment vertical="center"/>
    </xf>
    <xf numFmtId="0" fontId="0" fillId="0" borderId="1" xfId="0" applyFill="1" applyBorder="1" applyAlignment="1">
      <alignment vertical="top"/>
    </xf>
    <xf numFmtId="0" fontId="22" fillId="0" borderId="1" xfId="0" applyFont="1" applyFill="1" applyBorder="1" applyAlignment="1">
      <alignment horizontal="right" vertical="top" wrapText="1"/>
    </xf>
    <xf numFmtId="0" fontId="22" fillId="0" borderId="1" xfId="0" applyFont="1" applyFill="1" applyBorder="1" applyAlignment="1">
      <alignment horizontal="right" vertical="top"/>
    </xf>
    <xf numFmtId="1" fontId="22" fillId="0" borderId="1" xfId="0" applyNumberFormat="1" applyFont="1" applyFill="1" applyBorder="1" applyAlignment="1">
      <alignment horizontal="right" vertical="top"/>
    </xf>
    <xf numFmtId="9" fontId="18" fillId="0" borderId="0" xfId="0" applyNumberFormat="1" applyFont="1" applyFill="1" applyAlignment="1">
      <alignment vertical="center"/>
    </xf>
    <xf numFmtId="3" fontId="24" fillId="0" borderId="0" xfId="0" applyNumberFormat="1" applyFont="1" applyFill="1" applyBorder="1" applyAlignment="1">
      <alignment horizontal="right" vertical="top" wrapText="1"/>
    </xf>
    <xf numFmtId="0" fontId="24" fillId="0" borderId="0" xfId="0" applyFont="1" applyFill="1" applyBorder="1" applyAlignment="1">
      <alignment horizontal="right" vertical="top" wrapText="1"/>
    </xf>
    <xf numFmtId="0" fontId="18" fillId="0" borderId="0" xfId="0" applyFont="1" applyFill="1" applyAlignment="1">
      <alignment horizontal="right" vertical="center" wrapText="1"/>
    </xf>
    <xf numFmtId="0" fontId="19" fillId="0" borderId="1" xfId="0" applyFont="1" applyFill="1" applyBorder="1" applyAlignment="1">
      <alignment horizontal="center" vertical="center" wrapText="1"/>
    </xf>
    <xf numFmtId="3" fontId="18" fillId="0" borderId="1" xfId="0" applyNumberFormat="1" applyFont="1" applyFill="1" applyBorder="1" applyAlignment="1">
      <alignment vertical="center" wrapText="1"/>
    </xf>
    <xf numFmtId="0" fontId="18" fillId="0" borderId="1" xfId="0" applyFont="1" applyFill="1" applyBorder="1" applyAlignment="1">
      <alignment horizontal="right" vertical="center"/>
    </xf>
    <xf numFmtId="166" fontId="18" fillId="0" borderId="1" xfId="0" applyNumberFormat="1" applyFont="1" applyFill="1" applyBorder="1" applyAlignment="1">
      <alignment horizontal="right" vertical="center"/>
    </xf>
    <xf numFmtId="0" fontId="18" fillId="0" borderId="1" xfId="0" applyFont="1" applyFill="1" applyBorder="1" applyAlignment="1">
      <alignment vertical="center"/>
    </xf>
    <xf numFmtId="166" fontId="18" fillId="0" borderId="1" xfId="0" applyNumberFormat="1" applyFont="1" applyFill="1" applyBorder="1" applyAlignment="1">
      <alignment vertical="center" wrapText="1"/>
    </xf>
    <xf numFmtId="43" fontId="19" fillId="0" borderId="1" xfId="1" applyFont="1" applyFill="1" applyBorder="1" applyAlignment="1">
      <alignment horizontal="right" vertical="center"/>
    </xf>
    <xf numFmtId="166" fontId="19" fillId="0" borderId="1" xfId="1" applyNumberFormat="1" applyFont="1" applyFill="1" applyBorder="1" applyAlignment="1">
      <alignment horizontal="right" vertical="center"/>
    </xf>
    <xf numFmtId="3" fontId="22" fillId="0" borderId="1" xfId="0" applyNumberFormat="1" applyFont="1" applyFill="1" applyBorder="1" applyAlignment="1">
      <alignment vertical="center" wrapText="1"/>
    </xf>
    <xf numFmtId="43" fontId="15" fillId="0" borderId="0" xfId="1" applyFont="1"/>
    <xf numFmtId="0" fontId="16" fillId="0" borderId="0" xfId="0" applyFont="1"/>
    <xf numFmtId="0" fontId="0" fillId="0" borderId="1" xfId="0" applyBorder="1"/>
    <xf numFmtId="43" fontId="15" fillId="0" borderId="1" xfId="1" applyFont="1" applyBorder="1"/>
    <xf numFmtId="0" fontId="16" fillId="0" borderId="1" xfId="0" applyFont="1" applyBorder="1"/>
    <xf numFmtId="43" fontId="16" fillId="0" borderId="1" xfId="1" applyFont="1" applyBorder="1"/>
    <xf numFmtId="0" fontId="16" fillId="0" borderId="1" xfId="0" applyFont="1" applyBorder="1" applyAlignment="1">
      <alignment horizontal="center"/>
    </xf>
    <xf numFmtId="43" fontId="16" fillId="0" borderId="1" xfId="1" applyFont="1" applyBorder="1" applyAlignment="1">
      <alignment horizontal="center"/>
    </xf>
    <xf numFmtId="0" fontId="16" fillId="0" borderId="0" xfId="0" applyFont="1" applyAlignment="1">
      <alignment horizontal="center"/>
    </xf>
    <xf numFmtId="43" fontId="16" fillId="0" borderId="1" xfId="1" applyFont="1" applyBorder="1" applyAlignment="1">
      <alignment horizontal="center" wrapText="1"/>
    </xf>
    <xf numFmtId="0" fontId="0" fillId="0" borderId="0" xfId="0" applyAlignment="1">
      <alignment wrapText="1"/>
    </xf>
    <xf numFmtId="43" fontId="16" fillId="0" borderId="0" xfId="1" applyFont="1" applyBorder="1" applyAlignment="1">
      <alignment horizontal="center"/>
    </xf>
    <xf numFmtId="43" fontId="15" fillId="0" borderId="0" xfId="1" applyFont="1" applyBorder="1"/>
    <xf numFmtId="43" fontId="16" fillId="0" borderId="0" xfId="1" applyFont="1" applyBorder="1"/>
    <xf numFmtId="0" fontId="19" fillId="2" borderId="1" xfId="0" applyFont="1" applyFill="1" applyBorder="1" applyAlignment="1">
      <alignment horizontal="center" vertical="center" wrapText="1"/>
    </xf>
    <xf numFmtId="0" fontId="18" fillId="0" borderId="1" xfId="0" applyFont="1" applyFill="1" applyBorder="1"/>
    <xf numFmtId="3" fontId="22" fillId="0" borderId="0" xfId="0" applyNumberFormat="1" applyFont="1" applyFill="1" applyBorder="1" applyAlignment="1">
      <alignment horizontal="right" vertical="top" wrapText="1"/>
    </xf>
    <xf numFmtId="0" fontId="22" fillId="0" borderId="0" xfId="0" applyFont="1" applyFill="1" applyBorder="1" applyAlignment="1">
      <alignment horizontal="right" vertical="top" wrapText="1"/>
    </xf>
    <xf numFmtId="0" fontId="18" fillId="2" borderId="1" xfId="0" applyFont="1" applyFill="1" applyBorder="1" applyAlignment="1">
      <alignment vertical="center" wrapText="1"/>
    </xf>
    <xf numFmtId="0" fontId="18" fillId="0" borderId="1" xfId="0" applyFont="1" applyFill="1" applyBorder="1" applyAlignment="1">
      <alignment horizontal="center" vertical="center" wrapText="1"/>
    </xf>
    <xf numFmtId="41" fontId="18" fillId="0" borderId="1" xfId="1" applyNumberFormat="1" applyFont="1" applyFill="1" applyBorder="1" applyAlignment="1">
      <alignment horizontal="right" vertical="center" wrapText="1"/>
    </xf>
    <xf numFmtId="3" fontId="22" fillId="0" borderId="1" xfId="0" applyNumberFormat="1" applyFont="1" applyFill="1" applyBorder="1" applyAlignment="1">
      <alignment horizontal="right"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right" vertical="center"/>
    </xf>
    <xf numFmtId="1" fontId="22" fillId="0" borderId="1" xfId="0" applyNumberFormat="1" applyFont="1" applyFill="1" applyBorder="1" applyAlignment="1">
      <alignment horizontal="right" vertical="center"/>
    </xf>
    <xf numFmtId="4" fontId="0" fillId="0" borderId="0" xfId="0" applyNumberFormat="1"/>
    <xf numFmtId="1" fontId="18" fillId="0" borderId="1" xfId="0" applyNumberFormat="1" applyFont="1" applyFill="1" applyBorder="1" applyAlignment="1">
      <alignment horizontal="left" vertical="center" wrapTex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vertical="center" wrapText="1"/>
    </xf>
    <xf numFmtId="0" fontId="18" fillId="0" borderId="1" xfId="0" applyFont="1" applyFill="1" applyBorder="1" applyAlignment="1">
      <alignment horizontal="left" vertical="center"/>
    </xf>
    <xf numFmtId="0" fontId="0" fillId="0" borderId="0" xfId="0" applyBorder="1"/>
    <xf numFmtId="4" fontId="0" fillId="0" borderId="0" xfId="0" applyNumberFormat="1" applyBorder="1"/>
    <xf numFmtId="0" fontId="18" fillId="0" borderId="0" xfId="0" applyFont="1" applyFill="1" applyBorder="1" applyAlignment="1">
      <alignment vertical="top"/>
    </xf>
    <xf numFmtId="0" fontId="19" fillId="0" borderId="0" xfId="0" applyFont="1" applyFill="1" applyBorder="1" applyAlignment="1">
      <alignment vertical="top" wrapText="1"/>
    </xf>
    <xf numFmtId="0" fontId="19" fillId="0" borderId="0" xfId="0" applyFont="1" applyFill="1" applyBorder="1" applyAlignment="1">
      <alignment vertical="center" wrapText="1"/>
    </xf>
    <xf numFmtId="0" fontId="19" fillId="0" borderId="0" xfId="0" applyFont="1" applyFill="1" applyBorder="1" applyAlignment="1">
      <alignment horizontal="left" vertical="top" wrapText="1"/>
    </xf>
    <xf numFmtId="0" fontId="20" fillId="0" borderId="0" xfId="0" applyFont="1" applyFill="1" applyBorder="1" applyAlignment="1">
      <alignment horizontal="left" vertical="center"/>
    </xf>
    <xf numFmtId="0" fontId="21" fillId="0" borderId="0" xfId="0" applyFont="1" applyFill="1" applyBorder="1" applyAlignment="1">
      <alignment horizontal="left" vertical="center"/>
    </xf>
    <xf numFmtId="0" fontId="18" fillId="0" borderId="0" xfId="0" applyFont="1" applyFill="1" applyBorder="1" applyAlignment="1">
      <alignment vertical="center"/>
    </xf>
    <xf numFmtId="0" fontId="0" fillId="0" borderId="0" xfId="0" applyBorder="1" applyAlignment="1">
      <alignment vertical="top"/>
    </xf>
    <xf numFmtId="0" fontId="16" fillId="0" borderId="0" xfId="0" applyFont="1" applyBorder="1" applyAlignment="1">
      <alignment vertical="top"/>
    </xf>
    <xf numFmtId="4" fontId="0" fillId="0" borderId="0" xfId="0" applyNumberFormat="1" applyBorder="1" applyAlignment="1">
      <alignment vertical="top"/>
    </xf>
    <xf numFmtId="4" fontId="16" fillId="0" borderId="0" xfId="0" applyNumberFormat="1" applyFont="1" applyBorder="1" applyAlignment="1">
      <alignment vertical="top"/>
    </xf>
    <xf numFmtId="0" fontId="0" fillId="0" borderId="2" xfId="0" applyBorder="1" applyAlignment="1">
      <alignment vertical="top"/>
    </xf>
    <xf numFmtId="0" fontId="0" fillId="0" borderId="3" xfId="0" applyBorder="1" applyAlignment="1">
      <alignment vertical="top"/>
    </xf>
    <xf numFmtId="0" fontId="19" fillId="0" borderId="4" xfId="0" applyFont="1" applyFill="1" applyBorder="1" applyAlignment="1">
      <alignment horizontal="center" vertical="top"/>
    </xf>
    <xf numFmtId="0" fontId="16" fillId="0" borderId="5" xfId="0" applyFont="1" applyBorder="1" applyAlignment="1">
      <alignment vertical="top"/>
    </xf>
    <xf numFmtId="0" fontId="0" fillId="0" borderId="4" xfId="0" applyBorder="1" applyAlignment="1">
      <alignment vertical="top"/>
    </xf>
    <xf numFmtId="0" fontId="0" fillId="0" borderId="5" xfId="0" applyBorder="1" applyAlignment="1">
      <alignment vertical="top"/>
    </xf>
    <xf numFmtId="4" fontId="0" fillId="0" borderId="5" xfId="0" applyNumberFormat="1" applyBorder="1" applyAlignment="1">
      <alignment vertical="top"/>
    </xf>
    <xf numFmtId="4" fontId="16" fillId="0" borderId="5" xfId="0" applyNumberFormat="1" applyFont="1" applyBorder="1" applyAlignment="1">
      <alignment vertical="top"/>
    </xf>
    <xf numFmtId="0" fontId="16" fillId="0" borderId="4" xfId="0" applyFont="1" applyBorder="1" applyAlignment="1">
      <alignment vertical="top"/>
    </xf>
    <xf numFmtId="0" fontId="20" fillId="0" borderId="4" xfId="0" applyFont="1" applyFill="1" applyBorder="1" applyAlignment="1">
      <alignment horizontal="left" vertical="top"/>
    </xf>
    <xf numFmtId="0" fontId="0" fillId="0" borderId="6" xfId="0" applyBorder="1" applyAlignment="1">
      <alignment vertical="top"/>
    </xf>
    <xf numFmtId="0" fontId="0" fillId="0" borderId="7" xfId="0" applyBorder="1" applyAlignment="1">
      <alignment vertical="top"/>
    </xf>
    <xf numFmtId="4" fontId="0" fillId="0" borderId="7" xfId="0" applyNumberFormat="1" applyBorder="1" applyAlignment="1">
      <alignment vertical="top"/>
    </xf>
    <xf numFmtId="0" fontId="0" fillId="0" borderId="8" xfId="0" applyBorder="1" applyAlignment="1">
      <alignment vertical="top"/>
    </xf>
    <xf numFmtId="0" fontId="19" fillId="0" borderId="9" xfId="0" applyFont="1" applyFill="1" applyBorder="1" applyAlignment="1">
      <alignment horizontal="center" vertical="top"/>
    </xf>
    <xf numFmtId="0" fontId="20" fillId="0" borderId="2" xfId="0" applyFont="1" applyFill="1" applyBorder="1" applyAlignment="1">
      <alignment horizontal="left" vertical="top" wrapText="1"/>
    </xf>
    <xf numFmtId="0" fontId="16" fillId="0" borderId="2" xfId="0" applyFont="1" applyBorder="1" applyAlignment="1">
      <alignment vertical="top"/>
    </xf>
    <xf numFmtId="0" fontId="16" fillId="0" borderId="3" xfId="0" applyFont="1" applyBorder="1" applyAlignment="1">
      <alignment vertical="top"/>
    </xf>
    <xf numFmtId="4" fontId="16" fillId="0" borderId="7" xfId="0" applyNumberFormat="1" applyFont="1" applyBorder="1" applyAlignment="1">
      <alignment vertical="top"/>
    </xf>
    <xf numFmtId="4" fontId="16" fillId="0" borderId="8" xfId="0" applyNumberFormat="1" applyFont="1" applyBorder="1" applyAlignment="1">
      <alignment vertical="top"/>
    </xf>
    <xf numFmtId="0" fontId="16" fillId="0" borderId="6" xfId="0" applyFont="1" applyBorder="1" applyAlignment="1">
      <alignment vertical="top"/>
    </xf>
    <xf numFmtId="0" fontId="16" fillId="0" borderId="7" xfId="0" applyFont="1" applyBorder="1" applyAlignment="1">
      <alignment vertical="top"/>
    </xf>
    <xf numFmtId="4" fontId="0" fillId="0" borderId="8" xfId="0" applyNumberFormat="1" applyBorder="1" applyAlignment="1">
      <alignment vertical="top"/>
    </xf>
    <xf numFmtId="0" fontId="20" fillId="0" borderId="2" xfId="0" applyFont="1" applyFill="1" applyBorder="1" applyAlignment="1">
      <alignment horizontal="left" vertical="top"/>
    </xf>
    <xf numFmtId="165" fontId="22" fillId="0" borderId="1" xfId="0" applyNumberFormat="1" applyFont="1" applyFill="1" applyBorder="1" applyAlignment="1">
      <alignment horizontal="right" vertical="center" wrapText="1"/>
    </xf>
    <xf numFmtId="0" fontId="22" fillId="2" borderId="1" xfId="0" applyFont="1" applyFill="1" applyBorder="1" applyAlignment="1">
      <alignment horizontal="left" vertical="center" wrapText="1"/>
    </xf>
    <xf numFmtId="0" fontId="22" fillId="0" borderId="1" xfId="0" applyFont="1" applyFill="1" applyBorder="1" applyAlignment="1">
      <alignment horizontal="left" vertical="center"/>
    </xf>
    <xf numFmtId="0" fontId="22" fillId="0" borderId="1" xfId="0" applyFont="1" applyFill="1" applyBorder="1" applyAlignment="1">
      <alignment horizontal="center" vertical="center"/>
    </xf>
    <xf numFmtId="41" fontId="18" fillId="0" borderId="1" xfId="1" applyNumberFormat="1" applyFont="1" applyFill="1" applyBorder="1" applyAlignment="1">
      <alignment horizontal="right" vertical="center"/>
    </xf>
    <xf numFmtId="0" fontId="20" fillId="0" borderId="1" xfId="0" applyFont="1" applyFill="1" applyBorder="1" applyAlignment="1">
      <alignment horizontal="left" vertical="center"/>
    </xf>
    <xf numFmtId="0" fontId="21" fillId="0" borderId="1" xfId="0" applyFont="1" applyFill="1" applyBorder="1" applyAlignment="1">
      <alignment horizontal="left" vertical="center"/>
    </xf>
    <xf numFmtId="0" fontId="19" fillId="0" borderId="1" xfId="0" applyFont="1" applyFill="1" applyBorder="1" applyAlignment="1">
      <alignment horizontal="left" vertical="center"/>
    </xf>
    <xf numFmtId="0" fontId="22" fillId="0" borderId="1" xfId="0" applyFont="1" applyFill="1" applyBorder="1" applyAlignment="1">
      <alignment horizontal="right" vertical="center" wrapText="1"/>
    </xf>
    <xf numFmtId="0" fontId="23" fillId="0" borderId="1" xfId="0" applyFont="1" applyFill="1" applyBorder="1" applyAlignment="1">
      <alignment horizontal="left" vertical="center"/>
    </xf>
    <xf numFmtId="166" fontId="18" fillId="0" borderId="1" xfId="1" applyNumberFormat="1" applyFont="1" applyFill="1" applyBorder="1" applyAlignment="1">
      <alignment horizontal="right" vertical="center"/>
    </xf>
    <xf numFmtId="0" fontId="22" fillId="0" borderId="1" xfId="0" applyFont="1" applyFill="1" applyBorder="1" applyAlignment="1">
      <alignment vertical="center" wrapText="1"/>
    </xf>
    <xf numFmtId="0" fontId="18" fillId="2" borderId="1" xfId="0" applyFont="1" applyFill="1" applyBorder="1" applyAlignment="1">
      <alignment horizontal="left" vertical="center" wrapText="1"/>
    </xf>
    <xf numFmtId="166" fontId="18" fillId="0" borderId="1" xfId="1" applyNumberFormat="1" applyFont="1" applyFill="1" applyBorder="1" applyAlignment="1">
      <alignment vertical="center"/>
    </xf>
    <xf numFmtId="0" fontId="19" fillId="0" borderId="1" xfId="0" applyFont="1" applyFill="1" applyBorder="1" applyAlignment="1">
      <alignment vertical="center"/>
    </xf>
    <xf numFmtId="0" fontId="18" fillId="2" borderId="1" xfId="0" applyFont="1" applyFill="1" applyBorder="1" applyAlignment="1">
      <alignment horizontal="center" vertical="center"/>
    </xf>
    <xf numFmtId="0" fontId="22" fillId="2" borderId="1" xfId="0" applyFont="1" applyFill="1" applyBorder="1" applyAlignment="1">
      <alignment horizontal="center" vertical="center" wrapText="1"/>
    </xf>
    <xf numFmtId="41" fontId="18" fillId="2" borderId="1" xfId="1" applyNumberFormat="1" applyFont="1" applyFill="1" applyBorder="1" applyAlignment="1">
      <alignment horizontal="right" vertical="center" wrapText="1"/>
    </xf>
    <xf numFmtId="0" fontId="19" fillId="0" borderId="2" xfId="0" applyFont="1" applyFill="1" applyBorder="1" applyAlignment="1">
      <alignment vertical="top" wrapText="1"/>
    </xf>
    <xf numFmtId="0" fontId="0" fillId="0" borderId="6" xfId="0" applyBorder="1"/>
    <xf numFmtId="0" fontId="0" fillId="0" borderId="7" xfId="0" applyBorder="1"/>
    <xf numFmtId="4" fontId="0" fillId="0" borderId="7" xfId="0" applyNumberFormat="1" applyBorder="1"/>
    <xf numFmtId="4" fontId="0" fillId="0" borderId="8" xfId="0" applyNumberFormat="1" applyBorder="1"/>
    <xf numFmtId="0" fontId="20" fillId="0" borderId="2" xfId="0" applyFont="1" applyFill="1" applyBorder="1" applyAlignment="1">
      <alignment vertical="top" wrapText="1"/>
    </xf>
    <xf numFmtId="0" fontId="19" fillId="0" borderId="2" xfId="0" applyFont="1" applyFill="1" applyBorder="1" applyAlignment="1">
      <alignment horizontal="left" vertical="top" wrapText="1"/>
    </xf>
    <xf numFmtId="0" fontId="19" fillId="0" borderId="9" xfId="0" applyFont="1" applyFill="1" applyBorder="1" applyAlignment="1">
      <alignment horizontal="center" vertical="center"/>
    </xf>
    <xf numFmtId="0" fontId="19" fillId="0" borderId="2" xfId="0" applyFont="1" applyFill="1" applyBorder="1" applyAlignment="1">
      <alignment horizontal="left" vertical="center" wrapText="1"/>
    </xf>
    <xf numFmtId="0" fontId="0" fillId="0" borderId="4" xfId="0" applyBorder="1"/>
    <xf numFmtId="4" fontId="0" fillId="0" borderId="5" xfId="0" applyNumberFormat="1" applyBorder="1"/>
    <xf numFmtId="0" fontId="16" fillId="0" borderId="6" xfId="0" applyFont="1" applyBorder="1"/>
    <xf numFmtId="0" fontId="16" fillId="0" borderId="7" xfId="0" applyFont="1" applyBorder="1"/>
    <xf numFmtId="4" fontId="16" fillId="0" borderId="7" xfId="0" applyNumberFormat="1" applyFont="1" applyBorder="1"/>
    <xf numFmtId="4" fontId="16" fillId="0" borderId="8" xfId="0" applyNumberFormat="1" applyFont="1" applyBorder="1"/>
    <xf numFmtId="0" fontId="19" fillId="0" borderId="2" xfId="0" applyFont="1" applyFill="1" applyBorder="1" applyAlignment="1">
      <alignment vertical="top"/>
    </xf>
    <xf numFmtId="0" fontId="20" fillId="0" borderId="9" xfId="0" applyFont="1" applyFill="1" applyBorder="1" applyAlignment="1">
      <alignment horizontal="left" vertical="top"/>
    </xf>
    <xf numFmtId="0" fontId="18" fillId="0" borderId="2" xfId="0" applyFont="1" applyFill="1" applyBorder="1" applyAlignment="1">
      <alignment vertical="top" wrapText="1"/>
    </xf>
    <xf numFmtId="0" fontId="19" fillId="0" borderId="0" xfId="0" applyFont="1" applyFill="1" applyBorder="1" applyAlignment="1">
      <alignment horizontal="left" vertical="center"/>
    </xf>
    <xf numFmtId="0" fontId="20" fillId="0" borderId="2" xfId="0" applyFont="1" applyFill="1" applyBorder="1" applyAlignment="1">
      <alignment horizontal="left" vertical="center" wrapText="1"/>
    </xf>
    <xf numFmtId="0" fontId="0" fillId="0" borderId="5" xfId="0" applyBorder="1"/>
    <xf numFmtId="0" fontId="21" fillId="0" borderId="6" xfId="0" applyFont="1" applyFill="1" applyBorder="1" applyAlignment="1">
      <alignment horizontal="left" vertical="center"/>
    </xf>
    <xf numFmtId="0" fontId="19" fillId="0" borderId="2" xfId="0" applyFont="1" applyFill="1" applyBorder="1" applyAlignment="1">
      <alignment vertical="center"/>
    </xf>
    <xf numFmtId="0" fontId="16" fillId="0" borderId="10" xfId="0" applyFont="1" applyFill="1" applyBorder="1" applyAlignment="1">
      <alignment horizontal="center" vertical="center" wrapText="1"/>
    </xf>
    <xf numFmtId="0" fontId="16" fillId="0" borderId="11"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vertical="center"/>
    </xf>
    <xf numFmtId="0" fontId="19" fillId="0" borderId="2" xfId="0" applyFont="1" applyFill="1" applyBorder="1" applyAlignment="1">
      <alignment vertical="center" wrapText="1"/>
    </xf>
    <xf numFmtId="0" fontId="23" fillId="0" borderId="0" xfId="0" applyFont="1" applyFill="1" applyBorder="1" applyAlignment="1">
      <alignment horizontal="left" vertical="center"/>
    </xf>
    <xf numFmtId="0" fontId="0" fillId="0" borderId="0" xfId="0" applyFill="1"/>
    <xf numFmtId="0" fontId="0" fillId="0" borderId="0" xfId="0" applyFill="1" applyBorder="1" applyAlignment="1">
      <alignment vertical="top"/>
    </xf>
    <xf numFmtId="0" fontId="0" fillId="0" borderId="4" xfId="0" applyFill="1" applyBorder="1"/>
    <xf numFmtId="0" fontId="0" fillId="0" borderId="0" xfId="0" applyFill="1" applyBorder="1"/>
    <xf numFmtId="4" fontId="0" fillId="0" borderId="0" xfId="0" applyNumberFormat="1" applyFill="1" applyBorder="1"/>
    <xf numFmtId="0" fontId="0" fillId="0" borderId="5" xfId="0" applyFill="1" applyBorder="1"/>
    <xf numFmtId="4" fontId="0" fillId="0" borderId="5" xfId="0" applyNumberFormat="1" applyFill="1" applyBorder="1"/>
    <xf numFmtId="0" fontId="0" fillId="0" borderId="6" xfId="0" applyFill="1" applyBorder="1"/>
    <xf numFmtId="0" fontId="0" fillId="0" borderId="7" xfId="0" applyFill="1" applyBorder="1"/>
    <xf numFmtId="4" fontId="0" fillId="0" borderId="7" xfId="0" applyNumberFormat="1" applyFill="1" applyBorder="1"/>
    <xf numFmtId="4" fontId="0" fillId="0" borderId="8" xfId="0" applyNumberFormat="1" applyFill="1" applyBorder="1"/>
    <xf numFmtId="0" fontId="17" fillId="0" borderId="4" xfId="0" applyFont="1" applyBorder="1"/>
    <xf numFmtId="0" fontId="18" fillId="2" borderId="1" xfId="0" applyFont="1" applyFill="1" applyBorder="1" applyAlignment="1">
      <alignment horizontal="center" vertical="center" wrapText="1"/>
    </xf>
    <xf numFmtId="0" fontId="25" fillId="2" borderId="1" xfId="0" applyFont="1" applyFill="1" applyBorder="1" applyAlignment="1">
      <alignment horizontal="center" vertical="center"/>
    </xf>
    <xf numFmtId="0" fontId="25" fillId="2" borderId="1" xfId="0" applyFont="1" applyFill="1" applyBorder="1" applyAlignment="1">
      <alignment horizontal="left" vertical="center" wrapText="1"/>
    </xf>
    <xf numFmtId="0" fontId="25" fillId="2" borderId="1" xfId="0" applyFont="1" applyFill="1" applyBorder="1" applyAlignment="1">
      <alignment horizontal="center" vertical="center" wrapText="1"/>
    </xf>
    <xf numFmtId="41" fontId="25" fillId="2" borderId="1" xfId="1" applyNumberFormat="1" applyFont="1" applyFill="1" applyBorder="1" applyAlignment="1">
      <alignment horizontal="right" vertical="center" wrapText="1"/>
    </xf>
    <xf numFmtId="0" fontId="16" fillId="0" borderId="12" xfId="0" applyFont="1" applyFill="1" applyBorder="1" applyAlignment="1">
      <alignment horizontal="center" vertical="center"/>
    </xf>
    <xf numFmtId="43" fontId="19" fillId="2" borderId="1" xfId="1" applyFont="1" applyFill="1" applyBorder="1" applyAlignment="1">
      <alignment horizontal="center" vertical="center" wrapText="1"/>
    </xf>
    <xf numFmtId="43" fontId="15" fillId="0" borderId="0" xfId="1" applyFont="1" applyBorder="1" applyAlignment="1">
      <alignment vertical="top"/>
    </xf>
    <xf numFmtId="43" fontId="16" fillId="0" borderId="0" xfId="1" applyFont="1" applyBorder="1" applyAlignment="1">
      <alignment vertical="top"/>
    </xf>
    <xf numFmtId="43" fontId="15" fillId="0" borderId="3" xfId="1" applyFont="1" applyBorder="1" applyAlignment="1">
      <alignment vertical="top"/>
    </xf>
    <xf numFmtId="43" fontId="15" fillId="0" borderId="5" xfId="1" applyFont="1" applyFill="1" applyBorder="1"/>
    <xf numFmtId="43" fontId="16" fillId="0" borderId="8" xfId="1" applyFont="1" applyBorder="1" applyAlignment="1">
      <alignment vertical="top"/>
    </xf>
    <xf numFmtId="43" fontId="15" fillId="0" borderId="5" xfId="1" applyFont="1" applyBorder="1"/>
    <xf numFmtId="43" fontId="15" fillId="0" borderId="8" xfId="1" applyFont="1" applyBorder="1" applyAlignment="1">
      <alignment vertical="top"/>
    </xf>
    <xf numFmtId="43" fontId="15" fillId="0" borderId="8" xfId="1" applyFont="1" applyFill="1" applyBorder="1"/>
    <xf numFmtId="43" fontId="15" fillId="0" borderId="8" xfId="1" applyFont="1" applyBorder="1"/>
    <xf numFmtId="43" fontId="15" fillId="0" borderId="2" xfId="1" applyFont="1" applyBorder="1" applyAlignment="1">
      <alignment vertical="top"/>
    </xf>
    <xf numFmtId="43" fontId="15" fillId="0" borderId="0" xfId="1" applyFont="1" applyFill="1" applyBorder="1"/>
    <xf numFmtId="43" fontId="16" fillId="0" borderId="7" xfId="1" applyFont="1" applyBorder="1" applyAlignment="1">
      <alignment vertical="top"/>
    </xf>
    <xf numFmtId="43" fontId="15" fillId="0" borderId="7" xfId="1" applyFont="1" applyFill="1" applyBorder="1"/>
    <xf numFmtId="43" fontId="16" fillId="0" borderId="2" xfId="1" applyFont="1" applyBorder="1" applyAlignment="1">
      <alignment vertical="top"/>
    </xf>
    <xf numFmtId="43" fontId="16" fillId="0" borderId="3" xfId="1" applyFont="1" applyBorder="1" applyAlignment="1">
      <alignment vertical="top"/>
    </xf>
    <xf numFmtId="43" fontId="15" fillId="0" borderId="7" xfId="1" applyFont="1" applyBorder="1" applyAlignment="1">
      <alignment vertical="top"/>
    </xf>
    <xf numFmtId="43" fontId="15" fillId="0" borderId="5" xfId="1" applyFont="1" applyBorder="1" applyAlignment="1">
      <alignment vertical="top"/>
    </xf>
    <xf numFmtId="43" fontId="15" fillId="0" borderId="7" xfId="1" applyFont="1" applyBorder="1"/>
    <xf numFmtId="43" fontId="16" fillId="0" borderId="5" xfId="1" applyFont="1" applyBorder="1" applyAlignment="1">
      <alignment vertical="top"/>
    </xf>
    <xf numFmtId="43" fontId="0" fillId="0" borderId="0" xfId="0" applyNumberFormat="1" applyBorder="1" applyAlignment="1">
      <alignment vertical="top"/>
    </xf>
    <xf numFmtId="41" fontId="18" fillId="0" borderId="0" xfId="1" applyNumberFormat="1" applyFont="1" applyFill="1" applyBorder="1" applyAlignment="1">
      <alignment horizontal="right" vertical="center" wrapText="1"/>
    </xf>
    <xf numFmtId="41" fontId="18" fillId="0" borderId="5" xfId="1" applyNumberFormat="1" applyFont="1" applyFill="1" applyBorder="1" applyAlignment="1">
      <alignment horizontal="right" vertical="center" wrapText="1"/>
    </xf>
    <xf numFmtId="43" fontId="18" fillId="0" borderId="0" xfId="0" applyNumberFormat="1" applyFont="1" applyFill="1" applyAlignment="1">
      <alignment horizontal="right" vertical="center"/>
    </xf>
    <xf numFmtId="41" fontId="17" fillId="0" borderId="1" xfId="1" applyNumberFormat="1" applyFont="1" applyFill="1" applyBorder="1" applyAlignment="1">
      <alignment horizontal="right" vertical="center" wrapText="1"/>
    </xf>
    <xf numFmtId="0" fontId="18" fillId="0" borderId="1" xfId="0" applyFont="1" applyFill="1" applyBorder="1" applyAlignment="1">
      <alignment horizontal="right" vertical="center" wrapText="1"/>
    </xf>
    <xf numFmtId="0" fontId="18" fillId="0" borderId="13" xfId="0" applyFont="1" applyFill="1" applyBorder="1" applyAlignment="1">
      <alignment horizontal="center" vertical="center"/>
    </xf>
    <xf numFmtId="0" fontId="18" fillId="2" borderId="1" xfId="0" applyFont="1" applyFill="1" applyBorder="1" applyAlignment="1">
      <alignment horizontal="center" vertical="top"/>
    </xf>
    <xf numFmtId="0" fontId="22" fillId="2" borderId="1" xfId="0" applyFont="1" applyFill="1" applyBorder="1" applyAlignment="1">
      <alignment horizontal="left" vertical="top" wrapText="1"/>
    </xf>
    <xf numFmtId="0" fontId="22" fillId="2" borderId="1" xfId="0" applyFont="1" applyFill="1" applyBorder="1" applyAlignment="1">
      <alignment horizontal="center" vertical="top" wrapText="1"/>
    </xf>
    <xf numFmtId="0" fontId="0" fillId="2" borderId="1" xfId="0" applyFont="1" applyFill="1" applyBorder="1"/>
    <xf numFmtId="4" fontId="0" fillId="2" borderId="1" xfId="0" applyNumberFormat="1" applyFont="1" applyFill="1" applyBorder="1"/>
    <xf numFmtId="3" fontId="18" fillId="0" borderId="1" xfId="0" applyNumberFormat="1" applyFont="1" applyFill="1" applyBorder="1" applyAlignment="1">
      <alignment vertical="center"/>
    </xf>
    <xf numFmtId="3" fontId="0" fillId="0" borderId="1" xfId="0" applyNumberFormat="1" applyFont="1" applyBorder="1" applyAlignment="1">
      <alignment vertical="top"/>
    </xf>
    <xf numFmtId="0" fontId="18" fillId="2" borderId="1" xfId="0" applyFont="1" applyFill="1" applyBorder="1" applyAlignment="1">
      <alignment vertical="center"/>
    </xf>
    <xf numFmtId="4" fontId="0" fillId="0" borderId="1" xfId="0" applyNumberFormat="1" applyFont="1" applyBorder="1" applyAlignment="1">
      <alignment vertical="top"/>
    </xf>
    <xf numFmtId="4" fontId="0" fillId="0" borderId="1" xfId="0" applyNumberFormat="1" applyFont="1" applyBorder="1"/>
    <xf numFmtId="0" fontId="0" fillId="0" borderId="1" xfId="0" applyFont="1" applyBorder="1"/>
    <xf numFmtId="3" fontId="0" fillId="0" borderId="1" xfId="0" applyNumberFormat="1" applyFont="1" applyBorder="1"/>
    <xf numFmtId="43" fontId="15" fillId="0" borderId="1" xfId="1" applyFont="1" applyBorder="1"/>
    <xf numFmtId="0" fontId="18" fillId="0" borderId="1" xfId="0" applyFont="1" applyFill="1" applyBorder="1" applyAlignment="1">
      <alignment horizontal="center" vertical="center"/>
    </xf>
    <xf numFmtId="41" fontId="18" fillId="0" borderId="13" xfId="1"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3" xfId="0" applyFont="1" applyFill="1" applyBorder="1" applyAlignment="1">
      <alignment horizontal="center" vertical="center" wrapText="1"/>
    </xf>
    <xf numFmtId="41" fontId="19" fillId="0" borderId="1" xfId="1" applyNumberFormat="1" applyFont="1" applyFill="1" applyBorder="1" applyAlignment="1">
      <alignment horizontal="right" vertical="center" wrapText="1"/>
    </xf>
    <xf numFmtId="0" fontId="16" fillId="0" borderId="0" xfId="0" applyFont="1" applyBorder="1"/>
    <xf numFmtId="4" fontId="16" fillId="0" borderId="0" xfId="0" applyNumberFormat="1" applyFont="1" applyBorder="1"/>
    <xf numFmtId="1" fontId="18" fillId="0" borderId="1" xfId="0" applyNumberFormat="1" applyFont="1" applyFill="1" applyBorder="1" applyAlignment="1">
      <alignment horizontal="left" vertical="center" wrapText="1"/>
    </xf>
    <xf numFmtId="0" fontId="26" fillId="0" borderId="0" xfId="0" applyFont="1" applyFill="1" applyBorder="1" applyAlignment="1">
      <alignment horizontal="center" vertical="center"/>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vertical="center" wrapText="1"/>
    </xf>
    <xf numFmtId="0" fontId="18" fillId="0" borderId="1" xfId="0" applyFont="1" applyFill="1" applyBorder="1" applyAlignment="1">
      <alignment horizontal="left" vertical="center"/>
    </xf>
    <xf numFmtId="0" fontId="18" fillId="0" borderId="1" xfId="0" applyFont="1" applyFill="1" applyBorder="1" applyAlignment="1">
      <alignment horizontal="center" vertical="center"/>
    </xf>
    <xf numFmtId="0" fontId="21" fillId="0" borderId="1" xfId="0" applyFont="1" applyFill="1" applyBorder="1" applyAlignment="1">
      <alignment horizontal="left" vertical="top"/>
    </xf>
    <xf numFmtId="1" fontId="18" fillId="0" borderId="1" xfId="0" applyNumberFormat="1" applyFont="1" applyFill="1" applyBorder="1" applyAlignment="1">
      <alignment horizontal="left" vertical="center" wrapText="1"/>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vertical="center" wrapText="1"/>
    </xf>
    <xf numFmtId="0" fontId="18" fillId="0" borderId="1" xfId="0" applyFont="1" applyFill="1" applyBorder="1" applyAlignment="1">
      <alignment horizontal="left" vertical="center"/>
    </xf>
    <xf numFmtId="0" fontId="18" fillId="0" borderId="1" xfId="0" applyFont="1" applyFill="1" applyBorder="1" applyAlignment="1">
      <alignment horizontal="center" vertical="center"/>
    </xf>
    <xf numFmtId="0" fontId="20" fillId="0" borderId="0" xfId="0" applyFont="1" applyFill="1" applyBorder="1" applyAlignment="1">
      <alignment horizontal="left" vertical="center"/>
    </xf>
    <xf numFmtId="0" fontId="21" fillId="0" borderId="1" xfId="0" applyFont="1" applyFill="1" applyBorder="1" applyAlignment="1">
      <alignment horizontal="left" vertical="top"/>
    </xf>
    <xf numFmtId="0" fontId="18" fillId="3" borderId="1" xfId="0" applyFont="1" applyFill="1" applyBorder="1" applyAlignment="1">
      <alignment horizontal="center" vertical="top"/>
    </xf>
    <xf numFmtId="0" fontId="18" fillId="0" borderId="0" xfId="0" applyFont="1" applyFill="1" applyAlignment="1">
      <alignment vertical="top" wrapText="1"/>
    </xf>
    <xf numFmtId="3" fontId="0" fillId="0" borderId="0" xfId="0" applyNumberFormat="1" applyFont="1" applyFill="1" applyBorder="1" applyAlignment="1">
      <alignment vertical="top"/>
    </xf>
    <xf numFmtId="0" fontId="22" fillId="0" borderId="0" xfId="0" applyFont="1" applyFill="1" applyBorder="1" applyAlignment="1">
      <alignment horizontal="center" vertical="top" wrapText="1"/>
    </xf>
    <xf numFmtId="3" fontId="0" fillId="0" borderId="1" xfId="0" applyNumberFormat="1" applyFont="1" applyFill="1" applyBorder="1" applyAlignment="1">
      <alignment vertical="top"/>
    </xf>
    <xf numFmtId="0" fontId="18" fillId="0" borderId="0" xfId="0" applyFont="1" applyFill="1" applyBorder="1" applyAlignment="1">
      <alignment horizontal="center" vertical="top"/>
    </xf>
    <xf numFmtId="0" fontId="18" fillId="0" borderId="0" xfId="0" applyFont="1" applyFill="1" applyBorder="1" applyAlignment="1">
      <alignment vertical="top" wrapText="1"/>
    </xf>
    <xf numFmtId="3" fontId="0" fillId="0" borderId="0" xfId="0" applyNumberFormat="1" applyAlignment="1">
      <alignment vertical="top"/>
    </xf>
    <xf numFmtId="0" fontId="19" fillId="0" borderId="0" xfId="0" applyFont="1" applyFill="1" applyBorder="1" applyAlignment="1">
      <alignment horizontal="center" vertical="center" wrapText="1"/>
    </xf>
    <xf numFmtId="1" fontId="18" fillId="0" borderId="0" xfId="0" applyNumberFormat="1" applyFont="1" applyFill="1" applyBorder="1" applyAlignment="1">
      <alignment horizontal="left" vertical="center" wrapText="1"/>
    </xf>
    <xf numFmtId="3" fontId="18" fillId="0" borderId="0" xfId="0" applyNumberFormat="1" applyFont="1" applyFill="1" applyBorder="1" applyAlignment="1">
      <alignment vertical="center" wrapText="1"/>
    </xf>
    <xf numFmtId="0" fontId="18" fillId="0" borderId="0" xfId="0" applyFont="1" applyFill="1" applyBorder="1" applyAlignment="1">
      <alignment horizontal="left" vertical="center" wrapText="1"/>
    </xf>
    <xf numFmtId="0" fontId="18" fillId="0" borderId="0" xfId="0" applyFont="1" applyFill="1" applyBorder="1" applyAlignment="1">
      <alignment vertical="center" wrapText="1"/>
    </xf>
    <xf numFmtId="166" fontId="18" fillId="0" borderId="0" xfId="0" applyNumberFormat="1" applyFont="1" applyFill="1" applyBorder="1" applyAlignment="1">
      <alignment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1" fontId="18" fillId="0" borderId="0" xfId="0" applyNumberFormat="1" applyFont="1" applyFill="1" applyBorder="1" applyAlignment="1">
      <alignment horizontal="right" vertical="center" wrapText="1"/>
    </xf>
    <xf numFmtId="43" fontId="18" fillId="0" borderId="0" xfId="0" applyNumberFormat="1" applyFont="1" applyFill="1" applyAlignment="1">
      <alignment vertical="top" wrapText="1"/>
    </xf>
    <xf numFmtId="0" fontId="18" fillId="0" borderId="1" xfId="1" applyNumberFormat="1" applyFont="1" applyFill="1" applyBorder="1" applyAlignment="1">
      <alignment horizontal="right" vertical="center" wrapText="1"/>
    </xf>
    <xf numFmtId="1" fontId="17" fillId="0" borderId="0" xfId="0" applyNumberFormat="1" applyFont="1" applyFill="1" applyBorder="1" applyAlignment="1">
      <alignment horizontal="left" vertical="center" wrapText="1"/>
    </xf>
    <xf numFmtId="166" fontId="19" fillId="0" borderId="0" xfId="1" applyNumberFormat="1" applyFont="1" applyFill="1" applyBorder="1" applyAlignment="1">
      <alignment horizontal="right" vertical="center"/>
    </xf>
    <xf numFmtId="0" fontId="27"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41" fontId="17" fillId="0" borderId="1" xfId="1" applyNumberFormat="1" applyFont="1" applyFill="1" applyBorder="1" applyAlignment="1">
      <alignment horizontal="right" vertical="center"/>
    </xf>
    <xf numFmtId="43" fontId="18" fillId="0" borderId="0" xfId="0" applyNumberFormat="1" applyFont="1" applyFill="1" applyAlignment="1">
      <alignment vertical="center" wrapText="1"/>
    </xf>
    <xf numFmtId="41" fontId="19" fillId="0" borderId="1" xfId="1" applyNumberFormat="1" applyFont="1" applyFill="1" applyBorder="1" applyAlignment="1">
      <alignment horizontal="right" vertical="center"/>
    </xf>
    <xf numFmtId="0" fontId="20" fillId="0" borderId="1" xfId="0" applyFont="1" applyFill="1" applyBorder="1" applyAlignment="1">
      <alignment horizontal="right" vertical="center"/>
    </xf>
    <xf numFmtId="1" fontId="18" fillId="0" borderId="1" xfId="0" applyNumberFormat="1" applyFont="1" applyFill="1" applyBorder="1" applyAlignment="1">
      <alignment horizontal="right" vertical="center" wrapText="1"/>
    </xf>
    <xf numFmtId="166" fontId="18" fillId="0" borderId="1" xfId="0" applyNumberFormat="1" applyFont="1" applyFill="1" applyBorder="1" applyAlignment="1">
      <alignment vertical="center"/>
    </xf>
    <xf numFmtId="166" fontId="18" fillId="0" borderId="0" xfId="0" applyNumberFormat="1" applyFont="1" applyFill="1" applyAlignment="1">
      <alignment horizontal="right" vertical="center"/>
    </xf>
    <xf numFmtId="43" fontId="18" fillId="0" borderId="1" xfId="0" applyNumberFormat="1" applyFont="1" applyFill="1" applyBorder="1" applyAlignment="1">
      <alignment vertical="top" wrapText="1"/>
    </xf>
    <xf numFmtId="166" fontId="18" fillId="0" borderId="1" xfId="0" applyNumberFormat="1" applyFont="1" applyFill="1" applyBorder="1" applyAlignment="1">
      <alignment vertical="top" wrapText="1"/>
    </xf>
    <xf numFmtId="0" fontId="18" fillId="0" borderId="0" xfId="0" applyNumberFormat="1" applyFont="1" applyFill="1" applyAlignment="1">
      <alignment vertical="center" wrapText="1"/>
    </xf>
    <xf numFmtId="0" fontId="18" fillId="0" borderId="0" xfId="0" applyNumberFormat="1" applyFont="1" applyFill="1" applyAlignment="1">
      <alignment vertical="top" wrapText="1"/>
    </xf>
    <xf numFmtId="0" fontId="18" fillId="0" borderId="0" xfId="0" applyFont="1" applyFill="1" applyBorder="1" applyAlignment="1">
      <alignment horizontal="center" vertical="center"/>
    </xf>
    <xf numFmtId="0" fontId="20" fillId="0" borderId="0" xfId="0" applyFont="1" applyFill="1" applyBorder="1" applyAlignment="1">
      <alignment horizontal="center" vertical="center" wrapText="1"/>
    </xf>
    <xf numFmtId="43" fontId="19" fillId="0" borderId="0" xfId="1" applyFont="1" applyFill="1" applyBorder="1" applyAlignment="1">
      <alignment horizontal="right" vertical="center"/>
    </xf>
    <xf numFmtId="0" fontId="0" fillId="2" borderId="1" xfId="0" applyFill="1" applyBorder="1" applyAlignment="1">
      <alignment wrapText="1"/>
    </xf>
    <xf numFmtId="0" fontId="20" fillId="2" borderId="0" xfId="0" applyFont="1" applyFill="1" applyBorder="1" applyAlignment="1">
      <alignment horizontal="left" vertical="center" wrapText="1"/>
    </xf>
    <xf numFmtId="1" fontId="18" fillId="0" borderId="14" xfId="0" applyNumberFormat="1" applyFont="1" applyFill="1" applyBorder="1" applyAlignment="1">
      <alignment vertical="center" wrapText="1"/>
    </xf>
    <xf numFmtId="41" fontId="18" fillId="0" borderId="13" xfId="1" applyNumberFormat="1" applyFont="1" applyFill="1" applyBorder="1" applyAlignment="1">
      <alignment horizontal="right" vertical="center" wrapText="1"/>
    </xf>
    <xf numFmtId="3" fontId="18" fillId="0" borderId="15" xfId="0" applyNumberFormat="1" applyFont="1" applyFill="1" applyBorder="1" applyAlignment="1">
      <alignment vertical="center" wrapText="1"/>
    </xf>
    <xf numFmtId="1" fontId="18" fillId="0" borderId="15" xfId="0" applyNumberFormat="1" applyFont="1" applyFill="1" applyBorder="1" applyAlignment="1">
      <alignment horizontal="right" vertical="center" wrapText="1"/>
    </xf>
    <xf numFmtId="3" fontId="18" fillId="0" borderId="15" xfId="0" applyNumberFormat="1" applyFont="1" applyFill="1" applyBorder="1" applyAlignment="1">
      <alignment horizontal="right" vertical="center" wrapText="1"/>
    </xf>
    <xf numFmtId="41" fontId="18" fillId="0" borderId="15" xfId="1" applyNumberFormat="1" applyFont="1" applyFill="1" applyBorder="1" applyAlignment="1">
      <alignment vertical="center" wrapText="1"/>
    </xf>
    <xf numFmtId="166" fontId="18" fillId="0" borderId="15" xfId="0" applyNumberFormat="1" applyFont="1" applyFill="1" applyBorder="1" applyAlignment="1">
      <alignment vertical="center"/>
    </xf>
    <xf numFmtId="41" fontId="18" fillId="0" borderId="16" xfId="1" applyNumberFormat="1" applyFont="1" applyFill="1" applyBorder="1" applyAlignment="1">
      <alignment vertical="center" wrapText="1"/>
    </xf>
    <xf numFmtId="166" fontId="18" fillId="0" borderId="15" xfId="0" applyNumberFormat="1" applyFont="1" applyFill="1" applyBorder="1" applyAlignment="1">
      <alignment horizontal="left" vertical="center" wrapText="1"/>
    </xf>
    <xf numFmtId="43" fontId="18" fillId="0" borderId="1" xfId="0" applyNumberFormat="1" applyFont="1" applyFill="1" applyBorder="1" applyAlignment="1">
      <alignment vertical="center"/>
    </xf>
    <xf numFmtId="0" fontId="18" fillId="0" borderId="1" xfId="0" applyNumberFormat="1" applyFont="1" applyFill="1" applyBorder="1" applyAlignment="1">
      <alignment vertical="top" wrapText="1"/>
    </xf>
    <xf numFmtId="0" fontId="18" fillId="4" borderId="1" xfId="0" applyFont="1" applyFill="1" applyBorder="1" applyAlignment="1">
      <alignment vertical="top" wrapText="1"/>
    </xf>
    <xf numFmtId="167" fontId="18" fillId="0" borderId="15" xfId="1" applyNumberFormat="1" applyFont="1" applyFill="1" applyBorder="1" applyAlignment="1">
      <alignment vertical="center" wrapText="1"/>
    </xf>
    <xf numFmtId="0" fontId="18" fillId="0" borderId="1" xfId="1" applyNumberFormat="1" applyFont="1" applyFill="1" applyBorder="1" applyAlignment="1">
      <alignment horizontal="right" vertical="top" wrapText="1"/>
    </xf>
    <xf numFmtId="0" fontId="18" fillId="0" borderId="1" xfId="1" applyNumberFormat="1" applyFont="1" applyFill="1" applyBorder="1" applyAlignment="1">
      <alignment horizontal="right" vertical="center"/>
    </xf>
    <xf numFmtId="41" fontId="18" fillId="5" borderId="1" xfId="1" applyNumberFormat="1" applyFont="1" applyFill="1" applyBorder="1" applyAlignment="1">
      <alignment horizontal="right" vertical="center" wrapText="1"/>
    </xf>
    <xf numFmtId="166" fontId="19" fillId="0" borderId="17" xfId="1" applyNumberFormat="1" applyFont="1" applyFill="1" applyBorder="1" applyAlignment="1">
      <alignment horizontal="right" vertical="center"/>
    </xf>
    <xf numFmtId="0" fontId="22" fillId="0" borderId="15" xfId="0" applyFont="1" applyFill="1" applyBorder="1" applyAlignment="1">
      <alignment horizontal="center" vertical="center" wrapText="1"/>
    </xf>
    <xf numFmtId="1" fontId="18" fillId="6" borderId="15" xfId="0" applyNumberFormat="1" applyFont="1" applyFill="1" applyBorder="1" applyAlignment="1">
      <alignment horizontal="right" vertical="center" wrapText="1"/>
    </xf>
    <xf numFmtId="0" fontId="18" fillId="6" borderId="1" xfId="0" applyFont="1" applyFill="1" applyBorder="1" applyAlignment="1">
      <alignment vertical="center" wrapText="1"/>
    </xf>
    <xf numFmtId="1" fontId="18" fillId="6" borderId="1" xfId="0" applyNumberFormat="1" applyFont="1" applyFill="1" applyBorder="1" applyAlignment="1">
      <alignment horizontal="left" vertical="center" wrapText="1"/>
    </xf>
    <xf numFmtId="3" fontId="22" fillId="0" borderId="0" xfId="0" applyNumberFormat="1" applyFont="1" applyFill="1" applyBorder="1" applyAlignment="1">
      <alignment horizontal="right" vertical="center" wrapText="1"/>
    </xf>
    <xf numFmtId="0" fontId="0" fillId="0" borderId="1" xfId="0" applyFill="1" applyBorder="1" applyAlignment="1">
      <alignment wrapText="1"/>
    </xf>
    <xf numFmtId="0" fontId="0" fillId="0" borderId="13" xfId="0" applyFill="1" applyBorder="1" applyAlignment="1">
      <alignment wrapText="1"/>
    </xf>
    <xf numFmtId="166" fontId="18" fillId="0" borderId="13" xfId="0" applyNumberFormat="1" applyFont="1" applyFill="1" applyBorder="1" applyAlignment="1">
      <alignment vertical="center"/>
    </xf>
    <xf numFmtId="0" fontId="20" fillId="0" borderId="1" xfId="0" applyFont="1" applyFill="1" applyBorder="1" applyAlignment="1">
      <alignment horizontal="left" vertical="center" wrapText="1"/>
    </xf>
    <xf numFmtId="0" fontId="20" fillId="0" borderId="17" xfId="0" applyFont="1" applyFill="1" applyBorder="1" applyAlignment="1">
      <alignment horizontal="left" vertical="center"/>
    </xf>
    <xf numFmtId="3" fontId="0" fillId="0" borderId="0" xfId="0" applyNumberFormat="1" applyFont="1" applyFill="1" applyBorder="1" applyAlignment="1">
      <alignment vertical="center"/>
    </xf>
    <xf numFmtId="0" fontId="18" fillId="0" borderId="0" xfId="0" applyFont="1" applyFill="1" applyBorder="1" applyAlignment="1">
      <alignment horizontal="right" vertical="center"/>
    </xf>
    <xf numFmtId="3" fontId="18" fillId="0" borderId="0" xfId="0" applyNumberFormat="1" applyFont="1" applyFill="1" applyBorder="1" applyAlignment="1">
      <alignment vertical="center"/>
    </xf>
    <xf numFmtId="166" fontId="18" fillId="0" borderId="0" xfId="0" applyNumberFormat="1" applyFont="1" applyFill="1" applyBorder="1" applyAlignment="1">
      <alignment horizontal="left" vertical="center" wrapText="1"/>
    </xf>
    <xf numFmtId="166" fontId="18" fillId="0" borderId="0" xfId="0" applyNumberFormat="1" applyFont="1" applyFill="1" applyBorder="1" applyAlignment="1">
      <alignment vertical="top" wrapText="1"/>
    </xf>
    <xf numFmtId="0" fontId="18" fillId="0" borderId="13" xfId="0" applyFont="1" applyFill="1" applyBorder="1" applyAlignment="1">
      <alignment vertical="center"/>
    </xf>
    <xf numFmtId="166" fontId="18" fillId="0" borderId="13" xfId="1" applyNumberFormat="1" applyFont="1" applyFill="1" applyBorder="1" applyAlignment="1">
      <alignment horizontal="right" vertical="center"/>
    </xf>
    <xf numFmtId="166" fontId="18" fillId="0" borderId="18" xfId="0" applyNumberFormat="1" applyFont="1" applyFill="1" applyBorder="1" applyAlignment="1">
      <alignment vertical="center"/>
    </xf>
    <xf numFmtId="0" fontId="19" fillId="0" borderId="1" xfId="0" applyFont="1" applyFill="1" applyBorder="1" applyAlignment="1">
      <alignment vertical="center" wrapText="1"/>
    </xf>
    <xf numFmtId="0" fontId="19" fillId="0" borderId="1" xfId="0" applyFont="1" applyFill="1" applyBorder="1" applyAlignment="1">
      <alignment horizontal="right" vertical="center" wrapText="1"/>
    </xf>
    <xf numFmtId="0" fontId="18" fillId="5" borderId="0" xfId="0" applyFont="1" applyFill="1" applyBorder="1" applyAlignment="1">
      <alignment vertical="top" wrapText="1"/>
    </xf>
    <xf numFmtId="0" fontId="22" fillId="5" borderId="1" xfId="0" applyFont="1" applyFill="1" applyBorder="1" applyAlignment="1">
      <alignment horizontal="center" vertical="top" wrapText="1"/>
    </xf>
    <xf numFmtId="0" fontId="0" fillId="5" borderId="15" xfId="0" applyFill="1" applyBorder="1"/>
    <xf numFmtId="0" fontId="0" fillId="5" borderId="1" xfId="0" applyFill="1" applyBorder="1"/>
    <xf numFmtId="41" fontId="0" fillId="5" borderId="1" xfId="0" applyNumberFormat="1" applyFill="1" applyBorder="1"/>
    <xf numFmtId="164" fontId="0" fillId="5" borderId="1" xfId="0" applyNumberFormat="1" applyFill="1" applyBorder="1"/>
    <xf numFmtId="0" fontId="18" fillId="5" borderId="19" xfId="0" applyFont="1" applyFill="1" applyBorder="1" applyAlignment="1">
      <alignment horizontal="left" vertical="center" wrapText="1"/>
    </xf>
    <xf numFmtId="166" fontId="18" fillId="5" borderId="1" xfId="0" applyNumberFormat="1" applyFont="1" applyFill="1" applyBorder="1" applyAlignment="1">
      <alignment vertical="top" wrapText="1"/>
    </xf>
    <xf numFmtId="3" fontId="22" fillId="5" borderId="1" xfId="0" applyNumberFormat="1" applyFont="1" applyFill="1" applyBorder="1" applyAlignment="1">
      <alignment horizontal="right" vertical="center" wrapText="1"/>
    </xf>
    <xf numFmtId="0" fontId="18" fillId="5" borderId="1" xfId="0" applyFont="1" applyFill="1" applyBorder="1" applyAlignment="1">
      <alignment vertical="center"/>
    </xf>
    <xf numFmtId="1" fontId="18" fillId="5" borderId="1" xfId="0" applyNumberFormat="1" applyFont="1" applyFill="1" applyBorder="1" applyAlignment="1">
      <alignment horizontal="left" vertical="center" wrapText="1"/>
    </xf>
    <xf numFmtId="41" fontId="19" fillId="5" borderId="1" xfId="1" applyNumberFormat="1" applyFont="1" applyFill="1" applyBorder="1" applyAlignment="1">
      <alignment horizontal="right" vertical="center" wrapText="1"/>
    </xf>
    <xf numFmtId="0" fontId="18" fillId="5" borderId="1" xfId="0" applyFont="1" applyFill="1" applyBorder="1" applyAlignment="1">
      <alignment vertical="top" wrapText="1"/>
    </xf>
    <xf numFmtId="0" fontId="18" fillId="5" borderId="1" xfId="0" applyFont="1" applyFill="1" applyBorder="1" applyAlignment="1">
      <alignment horizontal="right" vertical="center"/>
    </xf>
    <xf numFmtId="0" fontId="18" fillId="5" borderId="1" xfId="0" applyFont="1" applyFill="1" applyBorder="1" applyAlignment="1">
      <alignment vertical="center" wrapText="1"/>
    </xf>
    <xf numFmtId="165" fontId="22" fillId="5" borderId="1" xfId="0" applyNumberFormat="1" applyFont="1" applyFill="1" applyBorder="1" applyAlignment="1">
      <alignment horizontal="right" vertical="center" wrapText="1"/>
    </xf>
    <xf numFmtId="0" fontId="28" fillId="5" borderId="0" xfId="0" applyFont="1" applyFill="1" applyBorder="1" applyAlignment="1">
      <alignment horizontal="center" vertical="center"/>
    </xf>
    <xf numFmtId="0" fontId="28" fillId="6" borderId="0" xfId="0" applyFont="1" applyFill="1" applyBorder="1" applyAlignment="1">
      <alignment horizontal="center" vertical="center"/>
    </xf>
    <xf numFmtId="0" fontId="25" fillId="0" borderId="1" xfId="0" applyFont="1" applyFill="1" applyBorder="1" applyAlignment="1">
      <alignment horizontal="left" vertical="center" wrapText="1"/>
    </xf>
    <xf numFmtId="0" fontId="25" fillId="0" borderId="13" xfId="0" applyFont="1" applyFill="1" applyBorder="1" applyAlignment="1">
      <alignment horizontal="center" vertical="center"/>
    </xf>
    <xf numFmtId="0" fontId="25" fillId="0" borderId="1" xfId="0" applyFont="1" applyFill="1" applyBorder="1" applyAlignment="1">
      <alignment horizontal="center" vertical="center" wrapText="1"/>
    </xf>
    <xf numFmtId="41" fontId="25" fillId="0" borderId="1" xfId="1" applyNumberFormat="1" applyFont="1" applyFill="1" applyBorder="1" applyAlignment="1">
      <alignment horizontal="right" vertical="center" wrapText="1"/>
    </xf>
    <xf numFmtId="0" fontId="29" fillId="0" borderId="0" xfId="0" applyFont="1" applyFill="1" applyAlignment="1">
      <alignment vertical="center" wrapText="1"/>
    </xf>
    <xf numFmtId="0" fontId="30" fillId="0" borderId="0" xfId="0" applyFont="1" applyFill="1" applyAlignment="1">
      <alignment vertical="center" wrapText="1"/>
    </xf>
    <xf numFmtId="0" fontId="31" fillId="0" borderId="0" xfId="0" applyFont="1" applyFill="1" applyAlignment="1">
      <alignment vertical="center" wrapText="1"/>
    </xf>
    <xf numFmtId="0" fontId="31" fillId="0" borderId="0" xfId="0" applyFont="1" applyFill="1" applyAlignment="1">
      <alignment horizontal="center" vertical="center"/>
    </xf>
    <xf numFmtId="0" fontId="31" fillId="0" borderId="0" xfId="0" applyFont="1" applyFill="1" applyAlignment="1">
      <alignment horizontal="right" vertical="center"/>
    </xf>
    <xf numFmtId="166" fontId="31" fillId="0" borderId="0" xfId="0" applyNumberFormat="1" applyFont="1" applyFill="1" applyAlignment="1">
      <alignment horizontal="right" vertical="center"/>
    </xf>
    <xf numFmtId="1" fontId="30" fillId="0" borderId="0" xfId="0" applyNumberFormat="1" applyFont="1" applyFill="1" applyAlignment="1">
      <alignment vertical="center" wrapText="1"/>
    </xf>
    <xf numFmtId="0" fontId="19" fillId="3" borderId="1" xfId="0" applyFont="1" applyFill="1" applyBorder="1" applyAlignment="1">
      <alignment horizontal="center" vertical="center" wrapText="1"/>
    </xf>
    <xf numFmtId="43" fontId="16" fillId="0" borderId="7" xfId="1" applyFont="1" applyBorder="1"/>
    <xf numFmtId="43" fontId="16" fillId="0" borderId="8" xfId="1" applyFont="1" applyBorder="1"/>
    <xf numFmtId="166" fontId="18" fillId="0" borderId="0" xfId="1" applyNumberFormat="1" applyFont="1" applyFill="1" applyBorder="1" applyAlignment="1">
      <alignment horizontal="right" vertical="center"/>
    </xf>
    <xf numFmtId="0" fontId="26" fillId="0" borderId="0" xfId="0" applyFont="1" applyFill="1" applyBorder="1" applyAlignment="1">
      <alignment horizontal="center" vertical="center"/>
    </xf>
    <xf numFmtId="0" fontId="22" fillId="0" borderId="1" xfId="0" applyFont="1" applyFill="1" applyBorder="1" applyAlignment="1">
      <alignment horizontal="center" vertical="center" wrapText="1"/>
    </xf>
    <xf numFmtId="3" fontId="22" fillId="0" borderId="1" xfId="0" applyNumberFormat="1" applyFont="1" applyFill="1" applyBorder="1" applyAlignment="1">
      <alignment vertical="center" wrapText="1"/>
    </xf>
    <xf numFmtId="0" fontId="18" fillId="0" borderId="1" xfId="0" applyFont="1" applyFill="1" applyBorder="1" applyAlignment="1">
      <alignment horizontal="left" vertical="center"/>
    </xf>
    <xf numFmtId="41" fontId="18" fillId="0" borderId="13" xfId="1" applyNumberFormat="1" applyFont="1" applyFill="1" applyBorder="1" applyAlignment="1">
      <alignment horizontal="center" vertical="center" wrapText="1"/>
    </xf>
    <xf numFmtId="0" fontId="19" fillId="0" borderId="1" xfId="0" applyFont="1" applyFill="1" applyBorder="1" applyAlignment="1">
      <alignment horizontal="center" vertical="center"/>
    </xf>
    <xf numFmtId="1" fontId="18" fillId="0" borderId="1" xfId="0" applyNumberFormat="1" applyFont="1" applyFill="1" applyBorder="1" applyAlignment="1">
      <alignment horizontal="left" vertical="center" wrapText="1"/>
    </xf>
    <xf numFmtId="0" fontId="21" fillId="0" borderId="1" xfId="0" applyFont="1" applyFill="1" applyBorder="1" applyAlignment="1">
      <alignment horizontal="left" vertical="top"/>
    </xf>
    <xf numFmtId="0" fontId="22" fillId="0" borderId="1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 xfId="0" applyFont="1" applyFill="1" applyBorder="1" applyAlignment="1">
      <alignment horizontal="left" vertical="center"/>
    </xf>
    <xf numFmtId="1" fontId="18" fillId="0" borderId="1" xfId="0" applyNumberFormat="1" applyFont="1" applyFill="1" applyBorder="1" applyAlignment="1">
      <alignment horizontal="left" vertical="center" wrapText="1"/>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0" xfId="0" applyNumberFormat="1" applyFont="1" applyFill="1" applyBorder="1" applyAlignment="1">
      <alignment vertical="top" wrapText="1"/>
    </xf>
    <xf numFmtId="43" fontId="18" fillId="0" borderId="0" xfId="0" applyNumberFormat="1" applyFont="1" applyFill="1" applyBorder="1" applyAlignment="1">
      <alignment vertical="center"/>
    </xf>
    <xf numFmtId="41" fontId="18" fillId="0" borderId="0" xfId="0" applyNumberFormat="1" applyFont="1" applyFill="1" applyAlignment="1">
      <alignment horizontal="right" vertical="center"/>
    </xf>
    <xf numFmtId="164" fontId="18" fillId="0" borderId="0" xfId="0" applyNumberFormat="1" applyFont="1" applyFill="1" applyAlignment="1">
      <alignment vertical="center" wrapText="1"/>
    </xf>
    <xf numFmtId="41" fontId="18" fillId="0" borderId="0" xfId="0" applyNumberFormat="1" applyFont="1" applyFill="1" applyAlignment="1">
      <alignment vertical="center" wrapText="1"/>
    </xf>
    <xf numFmtId="43" fontId="18" fillId="0" borderId="0" xfId="1" applyFont="1" applyFill="1" applyAlignment="1">
      <alignment vertical="center"/>
    </xf>
    <xf numFmtId="0" fontId="0" fillId="0" borderId="15" xfId="0" applyFill="1" applyBorder="1"/>
    <xf numFmtId="41" fontId="0" fillId="0" borderId="1" xfId="0" applyNumberFormat="1" applyFill="1" applyBorder="1"/>
    <xf numFmtId="164" fontId="0" fillId="0" borderId="1" xfId="0" applyNumberFormat="1" applyFill="1" applyBorder="1"/>
    <xf numFmtId="0" fontId="18" fillId="0" borderId="19" xfId="0" applyFont="1" applyFill="1" applyBorder="1" applyAlignment="1">
      <alignment horizontal="left" vertical="center" wrapText="1"/>
    </xf>
    <xf numFmtId="166" fontId="18" fillId="0" borderId="15" xfId="1" applyNumberFormat="1" applyFont="1" applyFill="1" applyBorder="1" applyAlignment="1">
      <alignment horizontal="right" vertical="center" wrapText="1"/>
    </xf>
    <xf numFmtId="41" fontId="0" fillId="0" borderId="1" xfId="0" applyNumberFormat="1" applyFill="1" applyBorder="1" applyAlignment="1">
      <alignment vertical="center" wrapText="1"/>
    </xf>
    <xf numFmtId="167" fontId="0" fillId="0" borderId="1" xfId="0" applyNumberFormat="1" applyFill="1" applyBorder="1" applyAlignment="1">
      <alignment vertical="center" wrapText="1"/>
    </xf>
    <xf numFmtId="3" fontId="18" fillId="0" borderId="1" xfId="1" applyNumberFormat="1" applyFont="1" applyFill="1" applyBorder="1" applyAlignment="1">
      <alignment horizontal="right" vertical="center" wrapText="1"/>
    </xf>
    <xf numFmtId="0" fontId="28" fillId="0" borderId="0" xfId="0" applyFont="1" applyFill="1" applyBorder="1" applyAlignment="1">
      <alignment horizontal="center" vertical="center"/>
    </xf>
    <xf numFmtId="0" fontId="32" fillId="0" borderId="1" xfId="0" applyFont="1" applyFill="1" applyBorder="1" applyAlignment="1">
      <alignment vertical="center" wrapText="1"/>
    </xf>
    <xf numFmtId="0" fontId="31" fillId="0" borderId="1" xfId="0" applyFont="1" applyFill="1" applyBorder="1"/>
    <xf numFmtId="41" fontId="18" fillId="0" borderId="13" xfId="1" applyNumberFormat="1" applyFont="1" applyFill="1" applyBorder="1" applyAlignment="1">
      <alignment horizontal="right" vertical="center"/>
    </xf>
    <xf numFmtId="3" fontId="22" fillId="0" borderId="13" xfId="0" applyNumberFormat="1" applyFont="1" applyFill="1" applyBorder="1" applyAlignment="1">
      <alignment horizontal="right" vertical="center" wrapText="1"/>
    </xf>
    <xf numFmtId="1" fontId="18" fillId="0" borderId="13" xfId="0" applyNumberFormat="1" applyFont="1" applyFill="1" applyBorder="1" applyAlignment="1">
      <alignment horizontal="left" vertical="center" wrapText="1"/>
    </xf>
    <xf numFmtId="0" fontId="18" fillId="0" borderId="13" xfId="0" applyFont="1" applyFill="1" applyBorder="1" applyAlignment="1">
      <alignment horizontal="left" vertical="center"/>
    </xf>
    <xf numFmtId="0" fontId="18" fillId="0" borderId="17" xfId="0" applyFont="1" applyFill="1" applyBorder="1" applyAlignment="1">
      <alignment horizontal="left" vertical="center"/>
    </xf>
    <xf numFmtId="41" fontId="18" fillId="0" borderId="17" xfId="1" applyNumberFormat="1" applyFont="1" applyFill="1" applyBorder="1" applyAlignment="1">
      <alignment horizontal="right" vertical="center"/>
    </xf>
    <xf numFmtId="41" fontId="18" fillId="0" borderId="17" xfId="1" applyNumberFormat="1" applyFont="1" applyFill="1" applyBorder="1" applyAlignment="1">
      <alignment horizontal="right" vertical="center" wrapText="1"/>
    </xf>
    <xf numFmtId="41" fontId="18" fillId="0" borderId="16" xfId="1" applyNumberFormat="1" applyFont="1" applyFill="1" applyBorder="1" applyAlignment="1">
      <alignment horizontal="right" vertical="center"/>
    </xf>
    <xf numFmtId="1" fontId="18" fillId="0" borderId="1" xfId="0" applyNumberFormat="1" applyFont="1" applyFill="1" applyBorder="1" applyAlignment="1">
      <alignment vertical="center" wrapText="1"/>
    </xf>
    <xf numFmtId="41" fontId="19" fillId="0" borderId="15" xfId="1" applyNumberFormat="1" applyFont="1" applyFill="1" applyBorder="1" applyAlignment="1">
      <alignment horizontal="right" vertical="center"/>
    </xf>
    <xf numFmtId="41" fontId="18" fillId="0" borderId="19" xfId="1" applyNumberFormat="1" applyFont="1" applyFill="1" applyBorder="1" applyAlignment="1">
      <alignment horizontal="right" vertical="center" wrapText="1"/>
    </xf>
    <xf numFmtId="167" fontId="19" fillId="0" borderId="0" xfId="0" applyNumberFormat="1" applyFont="1" applyFill="1" applyAlignment="1">
      <alignment horizontal="right" vertical="center"/>
    </xf>
    <xf numFmtId="167" fontId="31" fillId="0" borderId="0" xfId="0" applyNumberFormat="1" applyFont="1" applyFill="1" applyAlignment="1">
      <alignment horizontal="right" vertical="center"/>
    </xf>
    <xf numFmtId="0" fontId="18" fillId="0" borderId="18" xfId="0" applyFont="1" applyFill="1" applyBorder="1" applyAlignment="1">
      <alignment horizontal="right" vertical="center"/>
    </xf>
    <xf numFmtId="0" fontId="18" fillId="0" borderId="20" xfId="0" applyFont="1" applyFill="1" applyBorder="1" applyAlignment="1">
      <alignment horizontal="center" vertical="center"/>
    </xf>
    <xf numFmtId="0" fontId="18" fillId="0" borderId="20" xfId="0" applyFont="1" applyFill="1" applyBorder="1" applyAlignment="1">
      <alignment horizontal="right" vertical="center"/>
    </xf>
    <xf numFmtId="166" fontId="18" fillId="0" borderId="20" xfId="0" applyNumberFormat="1" applyFont="1" applyFill="1" applyBorder="1" applyAlignment="1">
      <alignment horizontal="right" vertical="center"/>
    </xf>
    <xf numFmtId="0" fontId="18" fillId="0" borderId="20" xfId="0" applyFont="1" applyFill="1" applyBorder="1" applyAlignment="1">
      <alignment vertical="center"/>
    </xf>
    <xf numFmtId="1" fontId="30" fillId="0" borderId="20" xfId="0" applyNumberFormat="1" applyFont="1" applyFill="1" applyBorder="1" applyAlignment="1">
      <alignment vertical="center" wrapText="1"/>
    </xf>
    <xf numFmtId="0" fontId="18" fillId="0" borderId="21" xfId="0" applyFont="1" applyFill="1" applyBorder="1" applyAlignment="1">
      <alignment vertical="center"/>
    </xf>
    <xf numFmtId="0" fontId="18" fillId="0" borderId="14" xfId="0" applyFont="1" applyFill="1" applyBorder="1" applyAlignment="1">
      <alignment vertical="center"/>
    </xf>
    <xf numFmtId="166" fontId="18" fillId="0" borderId="22" xfId="1" applyNumberFormat="1" applyFont="1" applyFill="1" applyBorder="1" applyAlignment="1">
      <alignment vertical="center"/>
    </xf>
    <xf numFmtId="0" fontId="18" fillId="0" borderId="22" xfId="0" applyFont="1" applyFill="1" applyBorder="1" applyAlignment="1">
      <alignment vertical="center"/>
    </xf>
    <xf numFmtId="166" fontId="18" fillId="0" borderId="0" xfId="1" applyNumberFormat="1" applyFont="1" applyFill="1" applyBorder="1" applyAlignment="1">
      <alignment vertical="center"/>
    </xf>
    <xf numFmtId="41" fontId="18" fillId="0" borderId="0" xfId="0" applyNumberFormat="1" applyFont="1" applyFill="1" applyBorder="1" applyAlignment="1">
      <alignment horizontal="right" vertical="center"/>
    </xf>
    <xf numFmtId="1" fontId="18" fillId="0" borderId="23" xfId="0" applyNumberFormat="1" applyFont="1" applyFill="1" applyBorder="1" applyAlignment="1">
      <alignment vertical="center"/>
    </xf>
    <xf numFmtId="0" fontId="18" fillId="0" borderId="16" xfId="0" applyFont="1" applyFill="1" applyBorder="1" applyAlignment="1">
      <alignment vertical="center"/>
    </xf>
    <xf numFmtId="0" fontId="18" fillId="0" borderId="24" xfId="0" applyFont="1" applyFill="1" applyBorder="1" applyAlignment="1">
      <alignment vertical="center"/>
    </xf>
    <xf numFmtId="41" fontId="19" fillId="7" borderId="23" xfId="0" applyNumberFormat="1" applyFont="1" applyFill="1" applyBorder="1" applyAlignment="1">
      <alignment vertical="center"/>
    </xf>
    <xf numFmtId="167" fontId="18" fillId="0" borderId="0" xfId="0" applyNumberFormat="1" applyFont="1" applyFill="1" applyBorder="1" applyAlignment="1">
      <alignment vertical="center"/>
    </xf>
    <xf numFmtId="167" fontId="18" fillId="7" borderId="24" xfId="0" applyNumberFormat="1" applyFont="1" applyFill="1" applyBorder="1" applyAlignment="1">
      <alignment vertical="center"/>
    </xf>
    <xf numFmtId="167" fontId="18" fillId="0" borderId="1" xfId="1" applyNumberFormat="1" applyFont="1" applyFill="1" applyBorder="1" applyAlignment="1">
      <alignment horizontal="right" vertical="center" wrapText="1"/>
    </xf>
    <xf numFmtId="166" fontId="18" fillId="0" borderId="0" xfId="0" applyNumberFormat="1" applyFont="1" applyFill="1" applyAlignment="1">
      <alignment vertical="center"/>
    </xf>
    <xf numFmtId="1" fontId="18" fillId="0" borderId="0" xfId="0" applyNumberFormat="1" applyFont="1" applyFill="1" applyAlignment="1">
      <alignment vertical="center"/>
    </xf>
    <xf numFmtId="167" fontId="18" fillId="0" borderId="0" xfId="0" applyNumberFormat="1" applyFont="1" applyFill="1" applyAlignment="1">
      <alignment vertical="center"/>
    </xf>
    <xf numFmtId="41" fontId="18" fillId="0" borderId="0" xfId="0" applyNumberFormat="1" applyFont="1" applyFill="1" applyAlignment="1">
      <alignment vertical="center"/>
    </xf>
    <xf numFmtId="0" fontId="18" fillId="0" borderId="0" xfId="0" quotePrefix="1" applyFont="1" applyFill="1" applyAlignment="1">
      <alignment horizontal="center" vertical="center"/>
    </xf>
    <xf numFmtId="167" fontId="19" fillId="0" borderId="1" xfId="1" applyNumberFormat="1" applyFont="1" applyFill="1" applyBorder="1" applyAlignment="1">
      <alignment horizontal="right" vertical="center" wrapText="1"/>
    </xf>
    <xf numFmtId="0" fontId="18" fillId="2" borderId="0" xfId="0" applyFont="1" applyFill="1" applyAlignment="1">
      <alignment horizontal="center" vertical="center"/>
    </xf>
    <xf numFmtId="0" fontId="18" fillId="2" borderId="1" xfId="0" applyFont="1" applyFill="1" applyBorder="1" applyAlignment="1">
      <alignment horizontal="right" vertical="center"/>
    </xf>
    <xf numFmtId="166" fontId="18" fillId="2" borderId="1" xfId="1" applyNumberFormat="1" applyFont="1" applyFill="1" applyBorder="1" applyAlignment="1">
      <alignment horizontal="right" vertical="center"/>
    </xf>
    <xf numFmtId="41" fontId="19" fillId="2" borderId="1" xfId="1" applyNumberFormat="1" applyFont="1" applyFill="1" applyBorder="1" applyAlignment="1">
      <alignment horizontal="right" vertical="center" wrapText="1"/>
    </xf>
    <xf numFmtId="43" fontId="18" fillId="2" borderId="0" xfId="0" applyNumberFormat="1" applyFont="1" applyFill="1" applyBorder="1" applyAlignment="1">
      <alignment vertical="center"/>
    </xf>
    <xf numFmtId="0" fontId="18" fillId="2" borderId="0" xfId="0" applyFont="1" applyFill="1" applyAlignment="1">
      <alignment vertical="center"/>
    </xf>
    <xf numFmtId="0" fontId="18" fillId="2" borderId="1" xfId="0" applyFont="1" applyFill="1" applyBorder="1" applyAlignment="1">
      <alignment vertical="top" wrapText="1"/>
    </xf>
    <xf numFmtId="166" fontId="29" fillId="0" borderId="0" xfId="0" applyNumberFormat="1" applyFont="1" applyFill="1" applyAlignment="1">
      <alignment vertical="center" wrapText="1"/>
    </xf>
    <xf numFmtId="0" fontId="7" fillId="0" borderId="0" xfId="0" applyFont="1" applyFill="1" applyAlignment="1">
      <alignment vertical="center"/>
    </xf>
    <xf numFmtId="0" fontId="7" fillId="0" borderId="0" xfId="0" applyFont="1" applyFill="1" applyAlignment="1">
      <alignment horizontal="center" vertical="center"/>
    </xf>
    <xf numFmtId="0" fontId="7" fillId="0" borderId="0" xfId="0" applyFont="1" applyFill="1" applyAlignment="1">
      <alignment vertical="center" wrapText="1"/>
    </xf>
    <xf numFmtId="0" fontId="7" fillId="0" borderId="0" xfId="0" applyFont="1" applyFill="1" applyAlignment="1">
      <alignment horizontal="right" vertical="center"/>
    </xf>
    <xf numFmtId="0" fontId="7" fillId="0" borderId="1" xfId="0" applyFont="1" applyFill="1" applyBorder="1" applyAlignment="1">
      <alignment vertical="center"/>
    </xf>
    <xf numFmtId="0" fontId="8" fillId="0" borderId="1" xfId="0" applyFont="1" applyFill="1" applyBorder="1" applyAlignment="1">
      <alignment horizontal="right" vertical="center" wrapText="1"/>
    </xf>
    <xf numFmtId="0" fontId="7" fillId="0" borderId="1" xfId="0" applyFont="1" applyFill="1" applyBorder="1" applyAlignment="1">
      <alignment horizontal="right" vertical="center"/>
    </xf>
    <xf numFmtId="0" fontId="7" fillId="0" borderId="1" xfId="0" applyFont="1" applyFill="1" applyBorder="1" applyAlignment="1">
      <alignment vertical="center" wrapText="1"/>
    </xf>
    <xf numFmtId="0" fontId="8" fillId="0" borderId="19" xfId="0"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Border="1" applyAlignment="1">
      <alignment horizontal="center" vertical="center" wrapText="1"/>
    </xf>
    <xf numFmtId="0" fontId="7" fillId="0" borderId="1" xfId="0" applyFont="1" applyFill="1" applyBorder="1" applyAlignment="1">
      <alignment horizontal="center" vertical="center"/>
    </xf>
    <xf numFmtId="41" fontId="7" fillId="0" borderId="1" xfId="1" applyNumberFormat="1" applyFont="1" applyFill="1" applyBorder="1" applyAlignment="1">
      <alignment horizontal="right" vertical="center" wrapText="1"/>
    </xf>
    <xf numFmtId="0" fontId="7" fillId="0" borderId="19" xfId="0" applyFont="1" applyFill="1" applyBorder="1" applyAlignment="1">
      <alignment vertical="center"/>
    </xf>
    <xf numFmtId="41" fontId="7" fillId="0" borderId="1" xfId="1" applyNumberFormat="1" applyFont="1" applyFill="1" applyBorder="1" applyAlignment="1">
      <alignment horizontal="right" vertical="center"/>
    </xf>
    <xf numFmtId="166" fontId="8" fillId="0" borderId="1" xfId="1" applyNumberFormat="1" applyFont="1" applyFill="1" applyBorder="1" applyAlignment="1">
      <alignment horizontal="right" vertical="center"/>
    </xf>
    <xf numFmtId="3" fontId="7" fillId="0" borderId="19" xfId="0" applyNumberFormat="1" applyFont="1" applyFill="1" applyBorder="1" applyAlignment="1">
      <alignment vertical="center" wrapText="1"/>
    </xf>
    <xf numFmtId="43" fontId="7" fillId="0" borderId="1" xfId="0" applyNumberFormat="1" applyFont="1" applyFill="1" applyBorder="1" applyAlignment="1">
      <alignment vertical="center"/>
    </xf>
    <xf numFmtId="0" fontId="7" fillId="0" borderId="19" xfId="0" applyFont="1" applyFill="1" applyBorder="1" applyAlignment="1">
      <alignment vertical="center" wrapText="1"/>
    </xf>
    <xf numFmtId="166" fontId="7" fillId="0" borderId="19" xfId="0" applyNumberFormat="1" applyFont="1" applyFill="1" applyBorder="1" applyAlignment="1">
      <alignment vertical="center"/>
    </xf>
    <xf numFmtId="3" fontId="7" fillId="0" borderId="1" xfId="0" applyNumberFormat="1" applyFont="1" applyFill="1" applyBorder="1" applyAlignment="1">
      <alignment horizontal="right" vertical="center" wrapText="1"/>
    </xf>
    <xf numFmtId="1" fontId="7" fillId="0" borderId="19" xfId="0" applyNumberFormat="1" applyFont="1" applyFill="1" applyBorder="1" applyAlignment="1">
      <alignment horizontal="left" vertical="center" wrapText="1"/>
    </xf>
    <xf numFmtId="43" fontId="7" fillId="0" borderId="1" xfId="0" applyNumberFormat="1" applyFont="1" applyFill="1" applyBorder="1" applyAlignment="1">
      <alignment horizontal="right" vertical="center"/>
    </xf>
    <xf numFmtId="166" fontId="7" fillId="0" borderId="1" xfId="1" applyNumberFormat="1" applyFont="1" applyFill="1" applyBorder="1" applyAlignment="1">
      <alignment horizontal="right" vertical="center"/>
    </xf>
    <xf numFmtId="0" fontId="7" fillId="0" borderId="1" xfId="0" applyFont="1" applyFill="1" applyBorder="1" applyAlignment="1">
      <alignment horizontal="left" vertical="center" wrapText="1"/>
    </xf>
    <xf numFmtId="0" fontId="7" fillId="0" borderId="19" xfId="0" applyFont="1" applyFill="1" applyBorder="1" applyAlignment="1">
      <alignment horizontal="left" vertical="center" wrapText="1"/>
    </xf>
    <xf numFmtId="41" fontId="33" fillId="0" borderId="1" xfId="0" applyNumberFormat="1" applyFont="1" applyFill="1" applyBorder="1" applyAlignment="1">
      <alignment vertical="center" wrapText="1"/>
    </xf>
    <xf numFmtId="0" fontId="8" fillId="0" borderId="1" xfId="0" applyFont="1" applyFill="1" applyBorder="1" applyAlignment="1">
      <alignment vertical="center"/>
    </xf>
    <xf numFmtId="0" fontId="8" fillId="0" borderId="0" xfId="0" applyFont="1" applyFill="1" applyBorder="1" applyAlignment="1">
      <alignment horizontal="left" vertical="center" wrapText="1"/>
    </xf>
    <xf numFmtId="0" fontId="8" fillId="0" borderId="0" xfId="0" applyFont="1" applyFill="1" applyAlignment="1">
      <alignment vertical="center"/>
    </xf>
    <xf numFmtId="43" fontId="7" fillId="0" borderId="0" xfId="0" applyNumberFormat="1" applyFont="1" applyFill="1" applyAlignment="1">
      <alignment vertical="center"/>
    </xf>
    <xf numFmtId="3" fontId="7" fillId="0" borderId="1" xfId="1" applyNumberFormat="1" applyFont="1" applyFill="1" applyBorder="1" applyAlignment="1">
      <alignment horizontal="right" vertical="center" wrapText="1"/>
    </xf>
    <xf numFmtId="0" fontId="35" fillId="0" borderId="1" xfId="0" applyFont="1" applyFill="1" applyBorder="1" applyAlignment="1">
      <alignment horizontal="center" vertical="center" wrapText="1"/>
    </xf>
    <xf numFmtId="41" fontId="35" fillId="0" borderId="1" xfId="1" applyNumberFormat="1" applyFont="1" applyFill="1" applyBorder="1" applyAlignment="1">
      <alignment horizontal="right" vertical="center" wrapText="1"/>
    </xf>
    <xf numFmtId="43" fontId="7" fillId="0" borderId="0" xfId="0" applyNumberFormat="1" applyFont="1" applyFill="1" applyBorder="1" applyAlignment="1">
      <alignment vertical="center"/>
    </xf>
    <xf numFmtId="43" fontId="8" fillId="0" borderId="1" xfId="1" applyFont="1" applyFill="1" applyBorder="1" applyAlignment="1">
      <alignment horizontal="right" vertical="center"/>
    </xf>
    <xf numFmtId="166" fontId="7" fillId="0" borderId="1" xfId="1" applyNumberFormat="1" applyFont="1" applyFill="1" applyBorder="1" applyAlignment="1">
      <alignment vertical="center"/>
    </xf>
    <xf numFmtId="41" fontId="7" fillId="0" borderId="19" xfId="1" applyNumberFormat="1" applyFont="1" applyFill="1" applyBorder="1" applyAlignment="1">
      <alignment horizontal="right" vertical="center" wrapText="1"/>
    </xf>
    <xf numFmtId="3" fontId="7" fillId="0" borderId="0" xfId="0" applyNumberFormat="1" applyFont="1" applyFill="1" applyBorder="1" applyAlignment="1">
      <alignment vertical="center" wrapText="1"/>
    </xf>
    <xf numFmtId="0" fontId="7" fillId="0" borderId="1" xfId="1" applyNumberFormat="1" applyFont="1" applyFill="1" applyBorder="1" applyAlignment="1">
      <alignment horizontal="right" vertical="center"/>
    </xf>
    <xf numFmtId="0" fontId="7" fillId="0" borderId="0" xfId="0" applyFont="1" applyFill="1" applyBorder="1" applyAlignment="1">
      <alignment vertical="center" wrapText="1"/>
    </xf>
    <xf numFmtId="164" fontId="7" fillId="0" borderId="0" xfId="0" applyNumberFormat="1" applyFont="1" applyFill="1" applyAlignment="1">
      <alignment vertical="center" wrapText="1"/>
    </xf>
    <xf numFmtId="166" fontId="7" fillId="0" borderId="0" xfId="0" applyNumberFormat="1" applyFont="1" applyFill="1" applyAlignment="1">
      <alignment horizontal="right" vertical="center"/>
    </xf>
    <xf numFmtId="0" fontId="7" fillId="0" borderId="0" xfId="0" quotePrefix="1" applyFont="1" applyFill="1" applyAlignment="1">
      <alignment horizontal="center" vertical="center"/>
    </xf>
    <xf numFmtId="0" fontId="8" fillId="0" borderId="1" xfId="0" applyFont="1" applyFill="1" applyBorder="1" applyAlignment="1">
      <alignment vertical="center" wrapText="1"/>
    </xf>
    <xf numFmtId="0" fontId="8" fillId="0" borderId="1" xfId="0" applyFont="1" applyFill="1" applyBorder="1" applyAlignment="1">
      <alignment horizontal="right" vertical="center"/>
    </xf>
    <xf numFmtId="41" fontId="8" fillId="0" borderId="1" xfId="0" applyNumberFormat="1" applyFont="1" applyFill="1" applyBorder="1" applyAlignment="1">
      <alignment horizontal="righ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41" fontId="7" fillId="0" borderId="0" xfId="1" applyNumberFormat="1" applyFont="1" applyFill="1" applyBorder="1" applyAlignment="1">
      <alignment horizontal="right" vertical="center" wrapText="1"/>
    </xf>
    <xf numFmtId="0" fontId="7" fillId="0" borderId="0" xfId="0" applyFont="1" applyFill="1" applyBorder="1" applyAlignment="1">
      <alignment horizontal="right" vertical="center"/>
    </xf>
    <xf numFmtId="0" fontId="11" fillId="0" borderId="0" xfId="0" applyFont="1" applyFill="1" applyBorder="1" applyAlignment="1">
      <alignment horizontal="center" vertical="center"/>
    </xf>
    <xf numFmtId="1" fontId="7" fillId="0" borderId="1" xfId="0" applyNumberFormat="1" applyFont="1" applyFill="1" applyBorder="1" applyAlignment="1">
      <alignment horizontal="right" vertical="center"/>
    </xf>
    <xf numFmtId="0" fontId="7" fillId="0" borderId="1" xfId="0" applyFont="1" applyFill="1" applyBorder="1" applyAlignment="1">
      <alignment horizontal="right" vertical="center" wrapText="1"/>
    </xf>
    <xf numFmtId="166" fontId="8" fillId="0" borderId="1" xfId="0" applyNumberFormat="1" applyFont="1" applyFill="1" applyBorder="1" applyAlignment="1">
      <alignment horizontal="right" vertical="center"/>
    </xf>
    <xf numFmtId="9" fontId="7" fillId="0" borderId="0" xfId="0" applyNumberFormat="1" applyFont="1" applyFill="1" applyAlignment="1">
      <alignment vertical="center" wrapText="1"/>
    </xf>
    <xf numFmtId="165" fontId="7" fillId="0" borderId="1" xfId="0" applyNumberFormat="1" applyFont="1" applyFill="1" applyBorder="1" applyAlignment="1">
      <alignment horizontal="right" vertical="center" wrapText="1"/>
    </xf>
    <xf numFmtId="0" fontId="7" fillId="0" borderId="15" xfId="0" applyFont="1" applyFill="1" applyBorder="1" applyAlignment="1">
      <alignment horizontal="center" vertical="center" wrapText="1"/>
    </xf>
    <xf numFmtId="3" fontId="7" fillId="0" borderId="0" xfId="0" applyNumberFormat="1" applyFont="1" applyFill="1" applyBorder="1" applyAlignment="1">
      <alignment horizontal="right" vertical="center" wrapText="1"/>
    </xf>
    <xf numFmtId="43" fontId="7" fillId="0" borderId="1" xfId="1" applyFont="1" applyFill="1" applyBorder="1" applyAlignment="1">
      <alignment vertical="center"/>
    </xf>
    <xf numFmtId="167" fontId="8" fillId="0" borderId="1" xfId="0" applyNumberFormat="1" applyFont="1" applyFill="1" applyBorder="1" applyAlignment="1">
      <alignment vertical="center"/>
    </xf>
    <xf numFmtId="43" fontId="7" fillId="0" borderId="1" xfId="1" applyFont="1" applyFill="1" applyBorder="1" applyAlignment="1">
      <alignment vertical="center" wrapText="1"/>
    </xf>
    <xf numFmtId="0" fontId="8" fillId="0" borderId="0" xfId="0" applyFont="1" applyFill="1" applyBorder="1" applyAlignment="1">
      <alignment vertical="center"/>
    </xf>
    <xf numFmtId="0" fontId="8" fillId="0" borderId="0" xfId="0" quotePrefix="1" applyFont="1" applyFill="1" applyBorder="1" applyAlignment="1">
      <alignment horizontal="center" vertical="center"/>
    </xf>
    <xf numFmtId="166" fontId="7" fillId="0" borderId="0" xfId="0" applyNumberFormat="1" applyFont="1" applyFill="1" applyBorder="1" applyAlignment="1">
      <alignment horizontal="right" vertical="center"/>
    </xf>
    <xf numFmtId="166" fontId="8" fillId="0" borderId="0" xfId="1" applyNumberFormat="1" applyFont="1" applyFill="1" applyBorder="1" applyAlignment="1">
      <alignment horizontal="right" vertical="center" wrapText="1"/>
    </xf>
    <xf numFmtId="166" fontId="7" fillId="0" borderId="0" xfId="1" applyNumberFormat="1" applyFont="1" applyFill="1" applyBorder="1" applyAlignment="1">
      <alignment vertical="center"/>
    </xf>
    <xf numFmtId="43" fontId="7" fillId="0" borderId="0" xfId="1" applyFont="1" applyFill="1" applyBorder="1" applyAlignment="1">
      <alignment vertical="center"/>
    </xf>
    <xf numFmtId="41" fontId="8" fillId="0" borderId="0" xfId="0" applyNumberFormat="1" applyFont="1" applyFill="1" applyBorder="1" applyAlignment="1">
      <alignment vertical="center"/>
    </xf>
    <xf numFmtId="166" fontId="8" fillId="0" borderId="0" xfId="0" applyNumberFormat="1" applyFont="1" applyFill="1" applyBorder="1" applyAlignment="1">
      <alignment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wrapText="1"/>
    </xf>
    <xf numFmtId="0" fontId="8" fillId="0" borderId="0" xfId="0" applyFont="1" applyFill="1" applyBorder="1" applyAlignment="1">
      <alignment horizontal="right" vertical="center"/>
    </xf>
    <xf numFmtId="41" fontId="8" fillId="0" borderId="0" xfId="0" applyNumberFormat="1" applyFont="1" applyFill="1" applyBorder="1" applyAlignment="1">
      <alignment horizontal="right" vertical="center"/>
    </xf>
    <xf numFmtId="3" fontId="7" fillId="0" borderId="1" xfId="0" applyNumberFormat="1" applyFont="1" applyFill="1" applyBorder="1" applyAlignment="1">
      <alignment horizontal="right" vertical="center"/>
    </xf>
    <xf numFmtId="41" fontId="7" fillId="0" borderId="0" xfId="0" applyNumberFormat="1" applyFont="1" applyFill="1" applyBorder="1" applyAlignment="1">
      <alignment vertical="center"/>
    </xf>
    <xf numFmtId="43" fontId="15" fillId="0" borderId="0" xfId="1" applyFont="1" applyAlignment="1">
      <alignment horizontal="left"/>
    </xf>
    <xf numFmtId="43" fontId="15" fillId="0" borderId="0" xfId="1" applyFont="1" applyAlignment="1"/>
    <xf numFmtId="43" fontId="16" fillId="0" borderId="0" xfId="0" applyNumberFormat="1" applyFont="1"/>
    <xf numFmtId="0" fontId="0" fillId="0" borderId="0" xfId="0" applyAlignment="1">
      <alignment horizontal="left" wrapText="1" indent="2"/>
    </xf>
    <xf numFmtId="0" fontId="16" fillId="0" borderId="0" xfId="0" applyFont="1" applyAlignment="1">
      <alignment wrapText="1"/>
    </xf>
    <xf numFmtId="0" fontId="13" fillId="0" borderId="0" xfId="2" applyFont="1" applyFill="1" applyBorder="1" applyAlignment="1">
      <alignment horizontal="center"/>
    </xf>
    <xf numFmtId="43" fontId="15" fillId="0" borderId="0" xfId="1" applyFont="1" applyAlignment="1">
      <alignment horizontal="right" wrapText="1" indent="2"/>
    </xf>
    <xf numFmtId="43" fontId="16" fillId="0" borderId="0" xfId="1" applyFont="1" applyAlignment="1">
      <alignment horizontal="right" wrapText="1" indent="2"/>
    </xf>
    <xf numFmtId="43" fontId="15" fillId="0" borderId="0" xfId="1" applyFont="1"/>
    <xf numFmtId="164" fontId="0" fillId="0" borderId="0" xfId="0" applyNumberFormat="1"/>
    <xf numFmtId="43" fontId="15" fillId="3" borderId="0" xfId="1" applyFont="1" applyFill="1"/>
    <xf numFmtId="0" fontId="0" fillId="0" borderId="1" xfId="0" applyBorder="1" applyAlignment="1">
      <alignment horizontal="left" vertical="center" wrapText="1" indent="2"/>
    </xf>
    <xf numFmtId="43" fontId="15" fillId="0" borderId="1" xfId="1" applyFont="1" applyBorder="1" applyAlignment="1">
      <alignment horizontal="left" vertical="center" wrapText="1" indent="2"/>
    </xf>
    <xf numFmtId="0" fontId="16" fillId="0" borderId="1" xfId="0" applyFont="1" applyBorder="1" applyAlignment="1">
      <alignment horizontal="left" vertical="center" wrapText="1" indent="2"/>
    </xf>
    <xf numFmtId="43" fontId="15" fillId="0" borderId="0" xfId="1" applyFont="1"/>
    <xf numFmtId="0" fontId="18" fillId="0" borderId="0" xfId="0" applyFont="1" applyFill="1" applyBorder="1" applyAlignment="1">
      <alignment horizontal="left" indent="1"/>
    </xf>
    <xf numFmtId="0" fontId="19" fillId="0" borderId="0" xfId="0" applyFont="1" applyFill="1" applyBorder="1" applyAlignment="1">
      <alignment horizontal="left" indent="1"/>
    </xf>
    <xf numFmtId="0" fontId="19" fillId="0" borderId="0" xfId="0" applyFont="1" applyFill="1" applyBorder="1"/>
    <xf numFmtId="0" fontId="19" fillId="0" borderId="0" xfId="0" applyFont="1" applyFill="1" applyBorder="1" applyAlignment="1">
      <alignment horizontal="center"/>
    </xf>
    <xf numFmtId="0" fontId="18" fillId="0" borderId="0" xfId="0" applyFont="1" applyFill="1" applyBorder="1"/>
    <xf numFmtId="0" fontId="19" fillId="0" borderId="0" xfId="0" applyFont="1" applyFill="1" applyBorder="1" applyAlignment="1">
      <alignment horizontal="left"/>
    </xf>
    <xf numFmtId="43" fontId="19" fillId="0" borderId="0" xfId="1" applyFont="1" applyFill="1" applyBorder="1"/>
    <xf numFmtId="43" fontId="18" fillId="0" borderId="0" xfId="1" applyFont="1" applyFill="1" applyBorder="1" applyAlignment="1">
      <alignment horizontal="right" indent="1"/>
    </xf>
    <xf numFmtId="43" fontId="18" fillId="0" borderId="0" xfId="1" applyFont="1" applyFill="1" applyBorder="1" applyAlignment="1">
      <alignment horizontal="left" indent="1"/>
    </xf>
    <xf numFmtId="43" fontId="19" fillId="0" borderId="0" xfId="1" applyFont="1" applyFill="1" applyBorder="1" applyAlignment="1">
      <alignment horizontal="center"/>
    </xf>
    <xf numFmtId="43" fontId="18" fillId="0" borderId="0" xfId="1" applyFont="1" applyFill="1" applyBorder="1"/>
    <xf numFmtId="43" fontId="18" fillId="0" borderId="0" xfId="1" applyFont="1" applyFill="1" applyBorder="1" applyAlignment="1">
      <alignment horizontal="center"/>
    </xf>
    <xf numFmtId="164" fontId="18" fillId="0" borderId="0" xfId="0" applyNumberFormat="1" applyFont="1" applyFill="1" applyBorder="1"/>
    <xf numFmtId="0" fontId="0" fillId="0" borderId="0" xfId="0" applyAlignment="1">
      <alignment horizontal="right" wrapText="1" indent="2"/>
    </xf>
    <xf numFmtId="0" fontId="0" fillId="0" borderId="1" xfId="0" applyBorder="1" applyAlignment="1">
      <alignment horizontal="center" vertical="center" wrapText="1"/>
    </xf>
    <xf numFmtId="43" fontId="16" fillId="0" borderId="0" xfId="1" applyFont="1"/>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xf>
    <xf numFmtId="3" fontId="7" fillId="0" borderId="17" xfId="0" applyNumberFormat="1" applyFont="1" applyFill="1" applyBorder="1" applyAlignment="1">
      <alignment horizontal="right" vertical="center"/>
    </xf>
    <xf numFmtId="0" fontId="7" fillId="0" borderId="17" xfId="0" applyFont="1" applyFill="1" applyBorder="1" applyAlignment="1">
      <alignment vertical="center"/>
    </xf>
    <xf numFmtId="1" fontId="8" fillId="0" borderId="1" xfId="0" applyNumberFormat="1" applyFont="1" applyFill="1" applyBorder="1" applyAlignment="1">
      <alignment horizontal="center" vertical="center" wrapText="1"/>
    </xf>
    <xf numFmtId="166" fontId="8"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wrapText="1"/>
    </xf>
    <xf numFmtId="41" fontId="7" fillId="0" borderId="0" xfId="0" applyNumberFormat="1" applyFont="1" applyFill="1" applyAlignment="1">
      <alignment vertical="center"/>
    </xf>
    <xf numFmtId="43" fontId="0" fillId="0" borderId="0" xfId="1" applyFont="1"/>
    <xf numFmtId="0" fontId="9" fillId="0" borderId="0" xfId="0" applyFont="1" applyFill="1" applyBorder="1" applyAlignment="1">
      <alignment vertical="center"/>
    </xf>
    <xf numFmtId="166" fontId="7" fillId="0" borderId="0" xfId="0" applyNumberFormat="1" applyFont="1" applyFill="1" applyAlignment="1">
      <alignment vertical="center"/>
    </xf>
    <xf numFmtId="0" fontId="9" fillId="0" borderId="0" xfId="0" applyFont="1" applyFill="1" applyBorder="1" applyAlignment="1">
      <alignment horizontal="center" vertical="center"/>
    </xf>
    <xf numFmtId="0" fontId="7" fillId="0" borderId="17" xfId="0" applyFont="1" applyFill="1" applyBorder="1" applyAlignment="1">
      <alignment horizontal="center" vertical="center"/>
    </xf>
    <xf numFmtId="1" fontId="7" fillId="0" borderId="1" xfId="0" applyNumberFormat="1" applyFont="1" applyFill="1" applyBorder="1" applyAlignment="1">
      <alignment horizontal="left" vertical="center" wrapText="1"/>
    </xf>
    <xf numFmtId="41" fontId="7" fillId="0" borderId="1" xfId="1"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3" fontId="7" fillId="0" borderId="1" xfId="0" applyNumberFormat="1" applyFont="1" applyFill="1" applyBorder="1" applyAlignment="1">
      <alignmen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center" vertical="center" wrapText="1"/>
    </xf>
    <xf numFmtId="0" fontId="7" fillId="7" borderId="17" xfId="0" applyFont="1" applyFill="1" applyBorder="1" applyAlignment="1">
      <alignment horizontal="center" vertical="center"/>
    </xf>
    <xf numFmtId="0" fontId="7" fillId="7" borderId="17" xfId="0" applyFont="1" applyFill="1" applyBorder="1" applyAlignment="1">
      <alignment horizontal="left" vertical="center"/>
    </xf>
    <xf numFmtId="3" fontId="7" fillId="7" borderId="17" xfId="0" applyNumberFormat="1" applyFont="1" applyFill="1" applyBorder="1" applyAlignment="1">
      <alignment horizontal="right" vertical="center"/>
    </xf>
    <xf numFmtId="0" fontId="7" fillId="7" borderId="17" xfId="0" applyFont="1" applyFill="1" applyBorder="1" applyAlignment="1">
      <alignment vertical="center"/>
    </xf>
    <xf numFmtId="41" fontId="7" fillId="7" borderId="1" xfId="1" applyNumberFormat="1" applyFont="1" applyFill="1" applyBorder="1" applyAlignment="1">
      <alignment horizontal="right" vertical="center" wrapText="1"/>
    </xf>
    <xf numFmtId="43" fontId="7" fillId="0" borderId="1" xfId="0" applyNumberFormat="1" applyFont="1" applyFill="1" applyBorder="1" applyAlignment="1">
      <alignment vertical="center" wrapText="1"/>
    </xf>
    <xf numFmtId="166" fontId="7" fillId="0" borderId="1" xfId="0" applyNumberFormat="1" applyFont="1" applyFill="1" applyBorder="1" applyAlignment="1">
      <alignment vertical="center" wrapText="1"/>
    </xf>
    <xf numFmtId="0" fontId="33" fillId="0" borderId="1" xfId="0" applyFont="1" applyFill="1" applyBorder="1" applyAlignment="1">
      <alignment vertical="center"/>
    </xf>
    <xf numFmtId="41" fontId="33" fillId="0" borderId="1" xfId="0" applyNumberFormat="1" applyFont="1" applyFill="1" applyBorder="1" applyAlignment="1">
      <alignment vertical="center"/>
    </xf>
    <xf numFmtId="166" fontId="7" fillId="0" borderId="0" xfId="0" applyNumberFormat="1" applyFont="1" applyFill="1" applyBorder="1" applyAlignment="1">
      <alignment vertical="center" wrapText="1"/>
    </xf>
    <xf numFmtId="166" fontId="8" fillId="0" borderId="0" xfId="0" applyNumberFormat="1" applyFont="1" applyFill="1" applyBorder="1" applyAlignment="1">
      <alignment vertical="center" wrapText="1"/>
    </xf>
    <xf numFmtId="0" fontId="33" fillId="0" borderId="1" xfId="0" applyFont="1" applyFill="1" applyBorder="1" applyAlignment="1">
      <alignment vertical="center" wrapText="1"/>
    </xf>
    <xf numFmtId="0" fontId="7" fillId="0" borderId="0" xfId="0" applyNumberFormat="1" applyFont="1" applyFill="1" applyAlignment="1">
      <alignment vertical="center" wrapText="1"/>
    </xf>
    <xf numFmtId="0" fontId="7" fillId="0" borderId="1" xfId="0" applyNumberFormat="1" applyFont="1" applyFill="1" applyBorder="1" applyAlignment="1">
      <alignment vertical="center" wrapText="1"/>
    </xf>
    <xf numFmtId="0" fontId="0" fillId="7" borderId="1" xfId="0" applyFill="1" applyBorder="1" applyAlignment="1">
      <alignment horizontal="left" vertical="center"/>
    </xf>
    <xf numFmtId="3" fontId="36" fillId="0" borderId="0" xfId="0" applyNumberFormat="1" applyFont="1" applyAlignment="1">
      <alignment vertical="center"/>
    </xf>
    <xf numFmtId="0" fontId="7" fillId="0" borderId="0"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xf>
    <xf numFmtId="0" fontId="7" fillId="0" borderId="1" xfId="0" applyFont="1" applyFill="1" applyBorder="1" applyAlignment="1">
      <alignment horizontal="left" vertical="center"/>
    </xf>
    <xf numFmtId="0" fontId="0" fillId="0" borderId="1" xfId="0" applyFill="1" applyBorder="1" applyAlignment="1">
      <alignment horizontal="left" vertical="center"/>
    </xf>
    <xf numFmtId="1" fontId="7" fillId="0" borderId="1" xfId="0" applyNumberFormat="1" applyFont="1" applyFill="1" applyBorder="1" applyAlignment="1">
      <alignment horizontal="left" vertical="center" wrapText="1"/>
    </xf>
    <xf numFmtId="3" fontId="7" fillId="0" borderId="1" xfId="0" applyNumberFormat="1" applyFont="1" applyFill="1" applyBorder="1" applyAlignment="1">
      <alignment vertical="center" wrapText="1"/>
    </xf>
    <xf numFmtId="166" fontId="8" fillId="10" borderId="1" xfId="0" applyNumberFormat="1" applyFont="1" applyFill="1" applyBorder="1" applyAlignment="1">
      <alignment horizontal="right" vertical="center"/>
    </xf>
    <xf numFmtId="0" fontId="8" fillId="11" borderId="1" xfId="0" applyFont="1" applyFill="1" applyBorder="1" applyAlignment="1">
      <alignment horizontal="left" vertical="center" wrapText="1"/>
    </xf>
    <xf numFmtId="0" fontId="7" fillId="11" borderId="1" xfId="0" applyFont="1" applyFill="1" applyBorder="1" applyAlignment="1">
      <alignment horizontal="center" vertical="center"/>
    </xf>
    <xf numFmtId="166" fontId="8" fillId="11" borderId="1" xfId="1" applyNumberFormat="1" applyFont="1" applyFill="1" applyBorder="1" applyAlignment="1">
      <alignment horizontal="right" vertical="center"/>
    </xf>
    <xf numFmtId="0" fontId="8" fillId="9" borderId="1" xfId="0" applyFont="1" applyFill="1" applyBorder="1" applyAlignment="1">
      <alignment horizontal="center" vertical="center" wrapText="1"/>
    </xf>
    <xf numFmtId="0" fontId="34" fillId="9" borderId="1" xfId="0" applyFont="1" applyFill="1" applyBorder="1" applyAlignment="1">
      <alignment vertical="center"/>
    </xf>
    <xf numFmtId="164" fontId="34" fillId="9" borderId="1" xfId="0" applyNumberFormat="1" applyFont="1" applyFill="1" applyBorder="1" applyAlignment="1">
      <alignment vertical="center"/>
    </xf>
    <xf numFmtId="167" fontId="34" fillId="9" borderId="1" xfId="0" applyNumberFormat="1" applyFont="1" applyFill="1" applyBorder="1" applyAlignment="1">
      <alignment vertical="center"/>
    </xf>
    <xf numFmtId="0" fontId="8" fillId="9" borderId="1" xfId="0" applyFont="1" applyFill="1" applyBorder="1" applyAlignment="1">
      <alignment horizontal="left" vertical="center"/>
    </xf>
    <xf numFmtId="0" fontId="7" fillId="9" borderId="1" xfId="0" applyFont="1" applyFill="1" applyBorder="1" applyAlignment="1">
      <alignment horizontal="center" vertical="center"/>
    </xf>
    <xf numFmtId="41" fontId="8" fillId="9" borderId="1" xfId="1" applyNumberFormat="1" applyFont="1" applyFill="1" applyBorder="1" applyAlignment="1">
      <alignment horizontal="right" vertical="center"/>
    </xf>
    <xf numFmtId="0" fontId="7" fillId="9" borderId="1" xfId="0" applyFont="1" applyFill="1" applyBorder="1" applyAlignment="1">
      <alignment horizontal="center" vertical="center" wrapText="1"/>
    </xf>
    <xf numFmtId="41" fontId="7" fillId="9" borderId="1" xfId="1" applyNumberFormat="1" applyFont="1" applyFill="1" applyBorder="1" applyAlignment="1">
      <alignment horizontal="right" vertical="center" wrapText="1"/>
    </xf>
    <xf numFmtId="0" fontId="7" fillId="9" borderId="1" xfId="0" applyFont="1" applyFill="1" applyBorder="1" applyAlignment="1">
      <alignment horizontal="right" vertical="center"/>
    </xf>
    <xf numFmtId="3" fontId="7" fillId="9" borderId="1" xfId="0" applyNumberFormat="1" applyFont="1" applyFill="1" applyBorder="1" applyAlignment="1">
      <alignment horizontal="right" vertical="center" wrapText="1"/>
    </xf>
    <xf numFmtId="0" fontId="7" fillId="9" borderId="1" xfId="0" applyFont="1" applyFill="1" applyBorder="1" applyAlignment="1">
      <alignment vertical="center"/>
    </xf>
    <xf numFmtId="3" fontId="7" fillId="9" borderId="1" xfId="0" applyNumberFormat="1" applyFont="1" applyFill="1" applyBorder="1" applyAlignment="1">
      <alignment vertical="center" wrapText="1"/>
    </xf>
    <xf numFmtId="3" fontId="7" fillId="9" borderId="1" xfId="0" applyNumberFormat="1" applyFont="1" applyFill="1" applyBorder="1" applyAlignment="1">
      <alignment horizontal="right" vertical="center"/>
    </xf>
    <xf numFmtId="166" fontId="7" fillId="9" borderId="1" xfId="0" applyNumberFormat="1" applyFont="1" applyFill="1" applyBorder="1" applyAlignment="1">
      <alignment horizontal="right" vertical="center"/>
    </xf>
    <xf numFmtId="0" fontId="7" fillId="9" borderId="1" xfId="0" applyFont="1" applyFill="1" applyBorder="1" applyAlignment="1">
      <alignment vertical="center" wrapText="1"/>
    </xf>
    <xf numFmtId="166" fontId="8" fillId="9" borderId="1" xfId="1" applyNumberFormat="1" applyFont="1" applyFill="1" applyBorder="1" applyAlignment="1">
      <alignment horizontal="right" vertical="center"/>
    </xf>
    <xf numFmtId="43" fontId="8" fillId="9" borderId="1" xfId="1" applyFont="1" applyFill="1" applyBorder="1" applyAlignment="1">
      <alignment horizontal="right" vertical="center"/>
    </xf>
    <xf numFmtId="168" fontId="0" fillId="0" borderId="1" xfId="0" applyNumberFormat="1" applyBorder="1"/>
    <xf numFmtId="168" fontId="0" fillId="0" borderId="0" xfId="0" applyNumberFormat="1"/>
    <xf numFmtId="0" fontId="16" fillId="9" borderId="1" xfId="0" applyFont="1" applyFill="1" applyBorder="1"/>
    <xf numFmtId="168" fontId="16" fillId="9" borderId="1" xfId="0" applyNumberFormat="1" applyFont="1" applyFill="1" applyBorder="1"/>
    <xf numFmtId="0" fontId="16" fillId="11" borderId="1" xfId="0" applyFont="1" applyFill="1" applyBorder="1"/>
    <xf numFmtId="168" fontId="16" fillId="11" borderId="1" xfId="0" applyNumberFormat="1" applyFont="1" applyFill="1" applyBorder="1"/>
    <xf numFmtId="0" fontId="16" fillId="12" borderId="1" xfId="0" applyFont="1" applyFill="1" applyBorder="1"/>
    <xf numFmtId="168" fontId="16" fillId="12" borderId="1" xfId="0" applyNumberFormat="1" applyFont="1" applyFill="1" applyBorder="1"/>
    <xf numFmtId="0" fontId="37" fillId="0" borderId="1" xfId="0" applyFont="1" applyBorder="1"/>
    <xf numFmtId="0" fontId="37" fillId="0" borderId="1" xfId="0" applyFont="1" applyBorder="1" applyAlignment="1">
      <alignment horizontal="center"/>
    </xf>
    <xf numFmtId="3" fontId="20" fillId="0" borderId="24" xfId="0" applyNumberFormat="1" applyFont="1" applyFill="1" applyBorder="1" applyAlignment="1">
      <alignment horizontal="left" wrapText="1"/>
    </xf>
    <xf numFmtId="0" fontId="22" fillId="0" borderId="1" xfId="0" applyFont="1" applyFill="1" applyBorder="1" applyAlignment="1">
      <alignment horizontal="center" vertical="center" wrapText="1"/>
    </xf>
    <xf numFmtId="166" fontId="18" fillId="0" borderId="1" xfId="0" applyNumberFormat="1" applyFont="1" applyFill="1" applyBorder="1" applyAlignment="1">
      <alignment horizontal="center" vertical="top" wrapText="1"/>
    </xf>
    <xf numFmtId="41" fontId="18" fillId="0" borderId="13" xfId="1" applyNumberFormat="1" applyFont="1" applyFill="1" applyBorder="1" applyAlignment="1">
      <alignment horizontal="center" vertical="center" wrapText="1"/>
    </xf>
    <xf numFmtId="41" fontId="18" fillId="0" borderId="25" xfId="1" applyNumberFormat="1" applyFont="1" applyFill="1" applyBorder="1" applyAlignment="1">
      <alignment horizontal="center" vertical="center" wrapText="1"/>
    </xf>
    <xf numFmtId="41" fontId="18" fillId="0" borderId="17" xfId="1" applyNumberFormat="1" applyFont="1" applyFill="1" applyBorder="1" applyAlignment="1">
      <alignment horizontal="center" vertical="center" wrapText="1"/>
    </xf>
    <xf numFmtId="1" fontId="18" fillId="0" borderId="25" xfId="0" applyNumberFormat="1" applyFont="1" applyFill="1" applyBorder="1" applyAlignment="1">
      <alignment horizontal="right" vertical="center" wrapText="1"/>
    </xf>
    <xf numFmtId="3" fontId="22" fillId="0" borderId="1" xfId="0" applyNumberFormat="1" applyFont="1" applyFill="1" applyBorder="1" applyAlignment="1">
      <alignment horizontal="center" vertical="center" wrapText="1"/>
    </xf>
    <xf numFmtId="3" fontId="22" fillId="0" borderId="1" xfId="0" applyNumberFormat="1" applyFont="1" applyFill="1" applyBorder="1" applyAlignment="1">
      <alignment vertical="center" wrapText="1"/>
    </xf>
    <xf numFmtId="0" fontId="18" fillId="0" borderId="1" xfId="0" applyFont="1" applyFill="1" applyBorder="1" applyAlignment="1">
      <alignment horizontal="left" vertical="center"/>
    </xf>
    <xf numFmtId="1" fontId="18" fillId="0" borderId="15" xfId="0" applyNumberFormat="1" applyFont="1" applyFill="1" applyBorder="1" applyAlignment="1">
      <alignment horizontal="left" vertical="center" wrapText="1"/>
    </xf>
    <xf numFmtId="3" fontId="18" fillId="0" borderId="13" xfId="1" applyNumberFormat="1" applyFont="1" applyFill="1" applyBorder="1" applyAlignment="1">
      <alignment horizontal="right" vertical="center" wrapText="1"/>
    </xf>
    <xf numFmtId="3" fontId="18" fillId="0" borderId="25" xfId="1" applyNumberFormat="1" applyFont="1" applyFill="1" applyBorder="1" applyAlignment="1">
      <alignment horizontal="right" vertical="center" wrapText="1"/>
    </xf>
    <xf numFmtId="3" fontId="18" fillId="0" borderId="17" xfId="1" applyNumberFormat="1" applyFont="1" applyFill="1" applyBorder="1" applyAlignment="1">
      <alignment horizontal="right" vertical="center" wrapText="1"/>
    </xf>
    <xf numFmtId="0" fontId="26" fillId="0" borderId="0" xfId="0" applyFont="1" applyFill="1" applyBorder="1" applyAlignment="1">
      <alignment horizontal="center" vertical="center"/>
    </xf>
    <xf numFmtId="0" fontId="19" fillId="0" borderId="1" xfId="0" applyFont="1" applyFill="1" applyBorder="1" applyAlignment="1">
      <alignment horizontal="center" vertical="center"/>
    </xf>
    <xf numFmtId="41" fontId="18" fillId="0" borderId="1" xfId="1" applyNumberFormat="1" applyFont="1" applyFill="1" applyBorder="1" applyAlignment="1">
      <alignment horizontal="center" vertical="center" wrapText="1"/>
    </xf>
    <xf numFmtId="0" fontId="16" fillId="9" borderId="1" xfId="0" applyFont="1" applyFill="1" applyBorder="1" applyAlignment="1">
      <alignment horizontal="center"/>
    </xf>
    <xf numFmtId="0" fontId="16" fillId="11" borderId="1" xfId="0" applyFont="1" applyFill="1" applyBorder="1" applyAlignment="1">
      <alignment horizontal="center"/>
    </xf>
    <xf numFmtId="0" fontId="9"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7" xfId="0" applyFont="1" applyFill="1" applyBorder="1" applyAlignment="1">
      <alignment horizontal="center" vertical="center"/>
    </xf>
    <xf numFmtId="0" fontId="9" fillId="0" borderId="24" xfId="0" applyFont="1" applyFill="1" applyBorder="1" applyAlignment="1">
      <alignment horizontal="center" vertical="center"/>
    </xf>
    <xf numFmtId="1" fontId="7" fillId="0" borderId="1" xfId="0" applyNumberFormat="1" applyFont="1" applyFill="1" applyBorder="1" applyAlignment="1">
      <alignment horizontal="left" vertical="center" wrapText="1"/>
    </xf>
    <xf numFmtId="41" fontId="7" fillId="0" borderId="1" xfId="1"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11" borderId="1" xfId="0" applyFont="1" applyFill="1" applyBorder="1" applyAlignment="1">
      <alignment horizontal="left" vertical="center"/>
    </xf>
    <xf numFmtId="0" fontId="8" fillId="9" borderId="1" xfId="0" applyFont="1" applyFill="1" applyBorder="1" applyAlignment="1">
      <alignment horizontal="left" vertical="center"/>
    </xf>
    <xf numFmtId="0" fontId="8" fillId="0" borderId="1" xfId="0" applyFont="1" applyFill="1" applyBorder="1" applyAlignment="1">
      <alignment horizontal="center" vertical="center" wrapText="1"/>
    </xf>
    <xf numFmtId="3" fontId="7" fillId="0" borderId="1" xfId="0" applyNumberFormat="1" applyFont="1" applyFill="1" applyBorder="1" applyAlignment="1">
      <alignment vertical="center" wrapText="1"/>
    </xf>
    <xf numFmtId="0" fontId="7" fillId="0" borderId="1" xfId="0" applyFont="1" applyFill="1" applyBorder="1" applyAlignment="1">
      <alignment horizontal="left" vertical="center"/>
    </xf>
    <xf numFmtId="0" fontId="8" fillId="9" borderId="1" xfId="0" applyFont="1" applyFill="1" applyBorder="1" applyAlignment="1">
      <alignment horizontal="left" vertical="center" wrapText="1"/>
    </xf>
    <xf numFmtId="0" fontId="9" fillId="0" borderId="0" xfId="0" applyFont="1" applyFill="1" applyAlignment="1">
      <alignment horizontal="center" vertical="center" wrapText="1"/>
    </xf>
    <xf numFmtId="166"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8" fillId="0" borderId="19" xfId="0" applyFont="1" applyFill="1" applyBorder="1" applyAlignment="1">
      <alignment horizontal="left" vertical="center" wrapText="1"/>
    </xf>
    <xf numFmtId="41" fontId="18" fillId="0" borderId="15" xfId="1" applyNumberFormat="1" applyFont="1" applyFill="1" applyBorder="1" applyAlignment="1">
      <alignment horizontal="center" vertical="center" wrapText="1"/>
    </xf>
    <xf numFmtId="41" fontId="18" fillId="0" borderId="18" xfId="1" applyNumberFormat="1" applyFont="1" applyFill="1" applyBorder="1" applyAlignment="1">
      <alignment horizontal="center" vertical="center" wrapText="1"/>
    </xf>
    <xf numFmtId="1" fontId="18" fillId="0" borderId="14" xfId="0" applyNumberFormat="1" applyFont="1" applyFill="1" applyBorder="1" applyAlignment="1">
      <alignment horizontal="center" vertical="center" wrapText="1"/>
    </xf>
    <xf numFmtId="3" fontId="20" fillId="0" borderId="24" xfId="0" applyNumberFormat="1" applyFont="1" applyFill="1" applyBorder="1" applyAlignment="1">
      <alignment horizontal="left" vertical="top" wrapText="1"/>
    </xf>
    <xf numFmtId="1" fontId="18" fillId="0" borderId="1" xfId="0" applyNumberFormat="1" applyFont="1" applyFill="1" applyBorder="1" applyAlignment="1">
      <alignment horizontal="left" vertical="center" wrapText="1"/>
    </xf>
    <xf numFmtId="0" fontId="19" fillId="0" borderId="24" xfId="0" applyFont="1" applyFill="1" applyBorder="1" applyAlignment="1">
      <alignment horizontal="center" vertical="center"/>
    </xf>
    <xf numFmtId="0" fontId="16" fillId="0" borderId="0" xfId="0" applyFont="1" applyAlignment="1">
      <alignment horizontal="center"/>
    </xf>
    <xf numFmtId="0" fontId="21" fillId="2" borderId="0" xfId="0" applyFont="1" applyFill="1" applyBorder="1" applyAlignment="1">
      <alignment horizontal="left" vertical="top"/>
    </xf>
    <xf numFmtId="0" fontId="21" fillId="2" borderId="9" xfId="0" applyFont="1" applyFill="1" applyBorder="1" applyAlignment="1">
      <alignment horizontal="left" vertical="top"/>
    </xf>
    <xf numFmtId="0" fontId="21" fillId="2" borderId="2" xfId="0" applyFont="1" applyFill="1" applyBorder="1" applyAlignment="1">
      <alignment horizontal="left" vertical="top"/>
    </xf>
    <xf numFmtId="0" fontId="20" fillId="0" borderId="14" xfId="0" applyFont="1" applyFill="1" applyBorder="1" applyAlignment="1">
      <alignment horizontal="left" vertical="center"/>
    </xf>
    <xf numFmtId="0" fontId="20" fillId="0" borderId="0" xfId="0" applyFont="1" applyFill="1" applyBorder="1" applyAlignment="1">
      <alignment horizontal="left" vertical="center"/>
    </xf>
    <xf numFmtId="0" fontId="21" fillId="2" borderId="0" xfId="0" applyFont="1" applyFill="1" applyBorder="1" applyAlignment="1">
      <alignment horizontal="left" vertical="center"/>
    </xf>
    <xf numFmtId="0" fontId="20" fillId="0" borderId="1" xfId="0" applyFont="1" applyFill="1" applyBorder="1" applyAlignment="1">
      <alignment horizontal="left" vertical="top"/>
    </xf>
    <xf numFmtId="0" fontId="21" fillId="0" borderId="1" xfId="0" applyFont="1" applyFill="1" applyBorder="1" applyAlignment="1">
      <alignment horizontal="left" vertical="top"/>
    </xf>
    <xf numFmtId="0" fontId="22" fillId="0" borderId="13"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18" fillId="0" borderId="0" xfId="0" applyFont="1" applyFill="1" applyAlignment="1">
      <alignment horizontal="left" vertical="center" wrapText="1"/>
    </xf>
    <xf numFmtId="3" fontId="22" fillId="0" borderId="0" xfId="0" applyNumberFormat="1" applyFont="1" applyFill="1" applyBorder="1" applyAlignment="1">
      <alignment horizontal="left" vertical="top"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21" fillId="8" borderId="15" xfId="0" applyFont="1" applyFill="1" applyBorder="1" applyAlignment="1">
      <alignment horizontal="left" vertical="center"/>
    </xf>
    <xf numFmtId="0" fontId="21" fillId="8" borderId="26" xfId="0" applyFont="1" applyFill="1" applyBorder="1" applyAlignment="1">
      <alignment horizontal="left" vertical="center"/>
    </xf>
    <xf numFmtId="0" fontId="21" fillId="8" borderId="19" xfId="0" applyFont="1" applyFill="1" applyBorder="1" applyAlignment="1">
      <alignment horizontal="left" vertical="center"/>
    </xf>
    <xf numFmtId="0" fontId="18" fillId="0" borderId="13" xfId="0" applyFont="1" applyFill="1" applyBorder="1" applyAlignment="1">
      <alignment horizontal="center" vertical="center"/>
    </xf>
    <xf numFmtId="0" fontId="18" fillId="0" borderId="17" xfId="0" applyFont="1" applyFill="1" applyBorder="1" applyAlignment="1">
      <alignment horizontal="center" vertical="center"/>
    </xf>
    <xf numFmtId="0" fontId="7" fillId="0" borderId="0" xfId="0" applyFont="1" applyFill="1" applyBorder="1" applyAlignment="1">
      <alignment horizontal="left" vertical="center"/>
    </xf>
    <xf numFmtId="0" fontId="19" fillId="13" borderId="9" xfId="0" applyFont="1" applyFill="1" applyBorder="1" applyAlignment="1">
      <alignment horizontal="center" vertical="center"/>
    </xf>
    <xf numFmtId="0" fontId="20" fillId="13" borderId="2" xfId="0" applyFont="1" applyFill="1" applyBorder="1" applyAlignment="1">
      <alignment horizontal="left" vertical="center" wrapText="1"/>
    </xf>
    <xf numFmtId="0" fontId="0" fillId="13" borderId="2" xfId="0" applyFill="1" applyBorder="1" applyAlignment="1">
      <alignment vertical="top"/>
    </xf>
    <xf numFmtId="0" fontId="0" fillId="13" borderId="3" xfId="0" applyFill="1" applyBorder="1" applyAlignment="1">
      <alignment vertical="top"/>
    </xf>
    <xf numFmtId="43" fontId="15" fillId="13" borderId="2" xfId="1" applyFont="1" applyFill="1" applyBorder="1" applyAlignment="1">
      <alignment vertical="top"/>
    </xf>
    <xf numFmtId="43" fontId="15" fillId="13" borderId="3" xfId="1" applyFont="1" applyFill="1" applyBorder="1" applyAlignment="1">
      <alignment vertical="top"/>
    </xf>
    <xf numFmtId="0" fontId="0" fillId="13" borderId="4" xfId="0" applyFill="1" applyBorder="1"/>
    <xf numFmtId="0" fontId="0" fillId="13" borderId="0" xfId="0" applyFill="1" applyBorder="1"/>
    <xf numFmtId="4" fontId="0" fillId="13" borderId="0" xfId="0" applyNumberFormat="1" applyFill="1" applyBorder="1"/>
    <xf numFmtId="0" fontId="0" fillId="13" borderId="5" xfId="0" applyFill="1" applyBorder="1"/>
    <xf numFmtId="43" fontId="15" fillId="13" borderId="0" xfId="1" applyFont="1" applyFill="1" applyBorder="1"/>
    <xf numFmtId="43" fontId="15" fillId="13" borderId="5" xfId="1" applyFont="1" applyFill="1" applyBorder="1"/>
    <xf numFmtId="4" fontId="0" fillId="13" borderId="5" xfId="0" applyNumberFormat="1" applyFill="1" applyBorder="1"/>
    <xf numFmtId="0" fontId="0" fillId="13" borderId="6" xfId="0" applyFill="1" applyBorder="1" applyAlignment="1">
      <alignment vertical="top"/>
    </xf>
    <xf numFmtId="0" fontId="0" fillId="13" borderId="7" xfId="0" applyFill="1" applyBorder="1" applyAlignment="1">
      <alignment vertical="top"/>
    </xf>
    <xf numFmtId="4" fontId="16" fillId="13" borderId="7" xfId="0" applyNumberFormat="1" applyFont="1" applyFill="1" applyBorder="1" applyAlignment="1">
      <alignment vertical="top"/>
    </xf>
    <xf numFmtId="4" fontId="16" fillId="13" borderId="8" xfId="0" applyNumberFormat="1" applyFont="1" applyFill="1" applyBorder="1" applyAlignment="1">
      <alignment vertical="top"/>
    </xf>
    <xf numFmtId="43" fontId="16" fillId="13" borderId="7" xfId="1" applyFont="1" applyFill="1" applyBorder="1" applyAlignment="1">
      <alignment vertical="top"/>
    </xf>
    <xf numFmtId="43" fontId="16" fillId="13" borderId="8" xfId="1" applyFont="1" applyFill="1" applyBorder="1" applyAlignment="1">
      <alignment vertical="top"/>
    </xf>
    <xf numFmtId="0" fontId="19" fillId="13" borderId="2" xfId="0" applyFont="1" applyFill="1" applyBorder="1" applyAlignment="1">
      <alignment vertical="center" wrapText="1"/>
    </xf>
    <xf numFmtId="0" fontId="0" fillId="13" borderId="6" xfId="0" applyFill="1" applyBorder="1"/>
    <xf numFmtId="0" fontId="0" fillId="13" borderId="7" xfId="0" applyFill="1" applyBorder="1"/>
    <xf numFmtId="4" fontId="0" fillId="13" borderId="7" xfId="0" applyNumberFormat="1" applyFill="1" applyBorder="1"/>
    <xf numFmtId="4" fontId="0" fillId="13" borderId="8" xfId="0" applyNumberFormat="1" applyFill="1" applyBorder="1"/>
    <xf numFmtId="43" fontId="15" fillId="13" borderId="7" xfId="1" applyFont="1" applyFill="1" applyBorder="1"/>
    <xf numFmtId="43" fontId="15" fillId="13" borderId="8" xfId="1" applyFont="1" applyFill="1" applyBorder="1"/>
    <xf numFmtId="0" fontId="18" fillId="13" borderId="1" xfId="0" applyFont="1" applyFill="1" applyBorder="1" applyAlignment="1">
      <alignment horizontal="center" vertical="top"/>
    </xf>
    <xf numFmtId="0" fontId="22" fillId="13" borderId="1" xfId="0" applyFont="1" applyFill="1" applyBorder="1" applyAlignment="1">
      <alignment horizontal="left" vertical="top" wrapText="1"/>
    </xf>
    <xf numFmtId="0" fontId="22" fillId="13" borderId="1" xfId="0" applyFont="1" applyFill="1" applyBorder="1" applyAlignment="1">
      <alignment horizontal="center" vertical="top" wrapText="1"/>
    </xf>
    <xf numFmtId="0" fontId="18" fillId="13" borderId="1" xfId="0" applyFont="1" applyFill="1" applyBorder="1" applyAlignment="1">
      <alignment vertical="center"/>
    </xf>
    <xf numFmtId="3" fontId="0" fillId="13" borderId="1" xfId="0" applyNumberFormat="1" applyFont="1" applyFill="1" applyBorder="1" applyAlignment="1">
      <alignment vertical="top"/>
    </xf>
    <xf numFmtId="0" fontId="18" fillId="13" borderId="1" xfId="0" applyFont="1" applyFill="1" applyBorder="1" applyAlignment="1">
      <alignment vertical="top" wrapText="1"/>
    </xf>
  </cellXfs>
  <cellStyles count="3">
    <cellStyle name="Comma" xfId="1" builtinId="3"/>
    <cellStyle name="Normal" xfId="0" builtinId="0"/>
    <cellStyle name="Normal_comp Type Code 2007-08"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haredStrings" Target="sharedStrings.xml"/><Relationship Id="rId30"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mmcglobalind-my.sharepoint.com/Share%20folder/Users/ABC/Downloads/Insurance_EDP_1220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mcglobalind-my.sharepoint.com/Share%20folder/Install/Budget%20-NEW/ASSETS%20INSURANCE/Asset%20Insurance%202018-19/Comparitive%20statement%202018-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mcglobalind-my.sharepoint.com/Share%20folder/Users/683/Downloads/Marine%20Department-NEW%20Insurance%20Polic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PPC\LSI%20Group\Valuation\Assignments\Insurance\Cochin%20Port\Review%204-12-19\Insurance_EDP_1220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mcglobalind-my.sharepoint.com/Share%20folder/Users/683/Downloads/Mechanical%20Engg%20Department-NEW%20Insurance%20Policy.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mmcglobalind-my.sharepoint.com/Share%20folder/Cochin%20Port%20Trust%20-Office%20related/Insurance%20of%20Port%20Properties/Port%20Assets%20insured%202018-19%20Along%20with%20Reinstatement%20cost%20by%20Value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mmcglobalind-my.sharepoint.com/Install/Budget%20-NEW/ACCOUNTS%20FINALISATION%202020-21/Annual%20Accounts/Final%20AA%202020-21/AA%202020-21%20Final%20(08.05.20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ow r="4">
          <cell r="F4">
            <v>3722171</v>
          </cell>
        </row>
        <row r="5">
          <cell r="D5">
            <v>2008</v>
          </cell>
          <cell r="F5">
            <v>1080542</v>
          </cell>
        </row>
        <row r="6">
          <cell r="D6">
            <v>2008</v>
          </cell>
          <cell r="F6">
            <v>615000</v>
          </cell>
        </row>
        <row r="7">
          <cell r="D7">
            <v>2008</v>
          </cell>
          <cell r="F7">
            <v>626200</v>
          </cell>
        </row>
        <row r="8">
          <cell r="D8">
            <v>2008</v>
          </cell>
          <cell r="F8">
            <v>2933600.0100000002</v>
          </cell>
        </row>
        <row r="9">
          <cell r="D9">
            <v>2008</v>
          </cell>
          <cell r="F9">
            <v>1862000</v>
          </cell>
        </row>
        <row r="10">
          <cell r="D10">
            <v>2008</v>
          </cell>
          <cell r="F10">
            <v>652000</v>
          </cell>
        </row>
        <row r="11">
          <cell r="F11">
            <v>255666</v>
          </cell>
        </row>
        <row r="12">
          <cell r="D12">
            <v>2015</v>
          </cell>
          <cell r="F12">
            <v>500000</v>
          </cell>
        </row>
        <row r="13">
          <cell r="D13">
            <v>2013</v>
          </cell>
          <cell r="F13">
            <v>174761.9</v>
          </cell>
        </row>
        <row r="14">
          <cell r="D14">
            <v>2016</v>
          </cell>
          <cell r="F14">
            <v>461464.82</v>
          </cell>
        </row>
        <row r="15">
          <cell r="D15">
            <v>2015</v>
          </cell>
          <cell r="F15">
            <v>1450000</v>
          </cell>
        </row>
        <row r="16">
          <cell r="D16">
            <v>2016</v>
          </cell>
          <cell r="F16">
            <v>293810</v>
          </cell>
        </row>
        <row r="18">
          <cell r="D18">
            <v>2008</v>
          </cell>
          <cell r="F18">
            <v>587111.12</v>
          </cell>
        </row>
        <row r="19">
          <cell r="D19">
            <v>2008</v>
          </cell>
          <cell r="F19">
            <v>3339148</v>
          </cell>
        </row>
        <row r="20">
          <cell r="D20">
            <v>2012</v>
          </cell>
          <cell r="F20">
            <v>49800</v>
          </cell>
        </row>
        <row r="21">
          <cell r="D21">
            <v>2012</v>
          </cell>
          <cell r="F21">
            <v>59800</v>
          </cell>
        </row>
        <row r="27">
          <cell r="D27">
            <v>2015</v>
          </cell>
          <cell r="F27">
            <v>527258</v>
          </cell>
        </row>
        <row r="29">
          <cell r="D29">
            <v>2014</v>
          </cell>
          <cell r="F29">
            <v>95048</v>
          </cell>
        </row>
        <row r="30">
          <cell r="D30">
            <v>2014</v>
          </cell>
          <cell r="F30">
            <v>108285</v>
          </cell>
        </row>
        <row r="31">
          <cell r="D31">
            <v>2015</v>
          </cell>
          <cell r="F31">
            <v>44762</v>
          </cell>
        </row>
        <row r="32">
          <cell r="D32">
            <v>2016</v>
          </cell>
          <cell r="F32">
            <v>70286</v>
          </cell>
        </row>
        <row r="33">
          <cell r="D33">
            <v>2017</v>
          </cell>
          <cell r="F33">
            <v>40952</v>
          </cell>
        </row>
        <row r="34">
          <cell r="D34">
            <v>2012</v>
          </cell>
          <cell r="F34">
            <v>40000</v>
          </cell>
        </row>
        <row r="35">
          <cell r="D35">
            <v>2015</v>
          </cell>
          <cell r="F35">
            <v>45238</v>
          </cell>
        </row>
        <row r="36">
          <cell r="D36">
            <v>2017</v>
          </cell>
          <cell r="F36">
            <v>40000</v>
          </cell>
        </row>
        <row r="37">
          <cell r="D37">
            <v>2014</v>
          </cell>
          <cell r="F37">
            <v>36095</v>
          </cell>
        </row>
        <row r="38">
          <cell r="D38">
            <v>2019</v>
          </cell>
          <cell r="F38">
            <v>127800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18"/>
      <sheetName val="Summary"/>
      <sheetName val="Comparative stat 2018-19"/>
      <sheetName val="Asset wise break up"/>
      <sheetName val="Sheet3"/>
      <sheetName val="Company wise break up"/>
      <sheetName val="COMP.STAT-2018-19 &amp; 2017-18"/>
      <sheetName val="Asset insurance with policy no "/>
      <sheetName val="Cost Centre "/>
      <sheetName val="Sheet2"/>
      <sheetName val="Com Statement 18-19 &amp; 19-20"/>
    </sheetNames>
    <sheetDataSet>
      <sheetData sheetId="0" refreshError="1"/>
      <sheetData sheetId="1" refreshError="1"/>
      <sheetData sheetId="2" refreshError="1"/>
      <sheetData sheetId="3" refreshError="1">
        <row r="127">
          <cell r="G127">
            <v>625000</v>
          </cell>
        </row>
        <row r="138">
          <cell r="G138">
            <v>75000</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19"/>
      <sheetName val="Sheet3"/>
      <sheetName val="Sheet1"/>
      <sheetName val="Annexures"/>
    </sheetNames>
    <sheetDataSet>
      <sheetData sheetId="0"/>
      <sheetData sheetId="1"/>
      <sheetData sheetId="2"/>
      <sheetData sheetId="3">
        <row r="5">
          <cell r="D5">
            <v>353344431</v>
          </cell>
          <cell r="M5">
            <v>1</v>
          </cell>
          <cell r="P5">
            <v>1482000000</v>
          </cell>
        </row>
        <row r="10">
          <cell r="D10">
            <v>91839658.120000005</v>
          </cell>
          <cell r="M10">
            <v>2</v>
          </cell>
          <cell r="P10">
            <v>22008523</v>
          </cell>
        </row>
        <row r="17">
          <cell r="D17">
            <v>43467197.629999995</v>
          </cell>
          <cell r="M17">
            <v>13752551</v>
          </cell>
          <cell r="O17">
            <v>81149047</v>
          </cell>
          <cell r="P17">
            <v>12250172</v>
          </cell>
          <cell r="Q17">
            <v>68898875</v>
          </cell>
        </row>
        <row r="20">
          <cell r="D20">
            <v>2827981.4</v>
          </cell>
          <cell r="M20">
            <v>1572048.4</v>
          </cell>
          <cell r="P20">
            <v>0</v>
          </cell>
        </row>
        <row r="23">
          <cell r="D23">
            <v>4202075</v>
          </cell>
          <cell r="M23">
            <v>1</v>
          </cell>
          <cell r="O23">
            <v>6394462</v>
          </cell>
          <cell r="P23">
            <v>647972</v>
          </cell>
          <cell r="Q23">
            <v>5746490</v>
          </cell>
        </row>
        <row r="26">
          <cell r="D26">
            <v>35340810.340000004</v>
          </cell>
          <cell r="M26">
            <v>17629525.16</v>
          </cell>
          <cell r="O26">
            <v>41231000</v>
          </cell>
          <cell r="P26">
            <v>3916945</v>
          </cell>
          <cell r="Q26">
            <v>37314055</v>
          </cell>
        </row>
        <row r="29">
          <cell r="D29">
            <v>57945859.259999998</v>
          </cell>
          <cell r="M29">
            <v>32568951.260000002</v>
          </cell>
          <cell r="O29">
            <v>68000000</v>
          </cell>
          <cell r="P29">
            <v>14535000</v>
          </cell>
          <cell r="Q29">
            <v>53465000</v>
          </cell>
        </row>
        <row r="35">
          <cell r="D35">
            <v>12254547</v>
          </cell>
          <cell r="M35">
            <v>6001448</v>
          </cell>
          <cell r="O35">
            <v>13834394</v>
          </cell>
          <cell r="P35">
            <v>4380892</v>
          </cell>
        </row>
        <row r="38">
          <cell r="D38">
            <v>2577417</v>
          </cell>
          <cell r="M38">
            <v>1262283</v>
          </cell>
          <cell r="P38">
            <v>918333</v>
          </cell>
        </row>
        <row r="41">
          <cell r="D41">
            <v>405113094</v>
          </cell>
          <cell r="M41">
            <v>205394975</v>
          </cell>
          <cell r="O41">
            <v>450000000</v>
          </cell>
          <cell r="P41">
            <v>128250000</v>
          </cell>
        </row>
        <row r="44">
          <cell r="D44">
            <v>405113094.41000003</v>
          </cell>
          <cell r="M44">
            <v>210773714</v>
          </cell>
          <cell r="O44">
            <v>450000000</v>
          </cell>
          <cell r="P44">
            <v>128250000</v>
          </cell>
          <cell r="Q44">
            <v>321750000</v>
          </cell>
        </row>
        <row r="47">
          <cell r="D47">
            <v>146364554</v>
          </cell>
          <cell r="M47">
            <v>1</v>
          </cell>
          <cell r="O47">
            <v>20000000</v>
          </cell>
          <cell r="P47">
            <v>13300000</v>
          </cell>
          <cell r="Q47">
            <v>6700000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ow r="23">
          <cell r="F23">
            <v>1254000</v>
          </cell>
        </row>
        <row r="24">
          <cell r="F24">
            <v>328000</v>
          </cell>
        </row>
        <row r="25">
          <cell r="F25">
            <v>30000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19"/>
      <sheetName val="Sheet3"/>
      <sheetName val="Sheet1"/>
      <sheetName val="Annexures"/>
    </sheetNames>
    <sheetDataSet>
      <sheetData sheetId="0"/>
      <sheetData sheetId="1"/>
      <sheetData sheetId="2"/>
      <sheetData sheetId="3">
        <row r="156">
          <cell r="D156">
            <v>9940193</v>
          </cell>
          <cell r="M156">
            <v>728602</v>
          </cell>
          <cell r="P156">
            <v>11400000</v>
          </cell>
        </row>
        <row r="159">
          <cell r="D159">
            <v>104307906.2</v>
          </cell>
          <cell r="M159">
            <v>37379380.409999996</v>
          </cell>
          <cell r="P159">
            <v>99750000</v>
          </cell>
        </row>
        <row r="164">
          <cell r="D164">
            <v>4762699.26</v>
          </cell>
          <cell r="M164">
            <v>986791.26</v>
          </cell>
          <cell r="P164">
            <v>2826250</v>
          </cell>
        </row>
        <row r="167">
          <cell r="D167">
            <v>10513594</v>
          </cell>
          <cell r="M167">
            <v>7021065</v>
          </cell>
          <cell r="P167">
            <v>4275000</v>
          </cell>
        </row>
        <row r="172">
          <cell r="D172">
            <v>807562</v>
          </cell>
          <cell r="M172">
            <v>563910</v>
          </cell>
          <cell r="O172">
            <v>1800000</v>
          </cell>
          <cell r="P172">
            <v>641250</v>
          </cell>
          <cell r="Q172">
            <v>1158750</v>
          </cell>
        </row>
        <row r="178">
          <cell r="D178">
            <v>183546150.33000001</v>
          </cell>
          <cell r="M178">
            <v>89889354.329999998</v>
          </cell>
          <cell r="P178">
            <v>57475000</v>
          </cell>
        </row>
        <row r="181">
          <cell r="D181">
            <v>52400000</v>
          </cell>
          <cell r="M181">
            <v>28195936</v>
          </cell>
          <cell r="O181">
            <v>75000000</v>
          </cell>
          <cell r="P181">
            <v>30281250</v>
          </cell>
          <cell r="Q181">
            <v>44718750</v>
          </cell>
        </row>
        <row r="184">
          <cell r="D184">
            <v>2731598</v>
          </cell>
          <cell r="M184">
            <v>1725327</v>
          </cell>
          <cell r="O184">
            <v>10000000</v>
          </cell>
          <cell r="P184">
            <v>3562500</v>
          </cell>
          <cell r="Q184">
            <v>6437500</v>
          </cell>
        </row>
        <row r="187">
          <cell r="D187">
            <v>6068816</v>
          </cell>
          <cell r="M187">
            <v>3099313</v>
          </cell>
          <cell r="P187">
            <v>2992500</v>
          </cell>
        </row>
        <row r="192">
          <cell r="D192">
            <v>4247897</v>
          </cell>
          <cell r="M192">
            <v>2</v>
          </cell>
          <cell r="O192">
            <v>4131000</v>
          </cell>
          <cell r="P192">
            <v>5044500</v>
          </cell>
        </row>
        <row r="197">
          <cell r="D197">
            <v>20606536.079999998</v>
          </cell>
          <cell r="M197">
            <v>11971068.08</v>
          </cell>
          <cell r="O197">
            <v>30000000</v>
          </cell>
          <cell r="P197">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19"/>
      <sheetName val="Sheet3"/>
      <sheetName val="Sheet1"/>
      <sheetName val="Annexures"/>
    </sheetNames>
    <sheetDataSet>
      <sheetData sheetId="0"/>
      <sheetData sheetId="1"/>
      <sheetData sheetId="2"/>
      <sheetData sheetId="3">
        <row r="5">
          <cell r="D5">
            <v>353344431</v>
          </cell>
          <cell r="M5">
            <v>1</v>
          </cell>
        </row>
        <row r="10">
          <cell r="D10">
            <v>91839658.120000005</v>
          </cell>
          <cell r="M10">
            <v>2</v>
          </cell>
        </row>
        <row r="17">
          <cell r="P17">
            <v>12250172</v>
          </cell>
          <cell r="Q17">
            <v>68898875</v>
          </cell>
        </row>
        <row r="67">
          <cell r="D67">
            <v>1198606</v>
          </cell>
          <cell r="M67">
            <v>3</v>
          </cell>
        </row>
        <row r="78">
          <cell r="D78">
            <v>8975185.1099999994</v>
          </cell>
          <cell r="M78">
            <v>1990756.1099999999</v>
          </cell>
        </row>
        <row r="85">
          <cell r="D85">
            <v>3090011</v>
          </cell>
          <cell r="M85">
            <v>1485816</v>
          </cell>
        </row>
        <row r="92">
          <cell r="D92">
            <v>1948190</v>
          </cell>
          <cell r="M92">
            <v>4</v>
          </cell>
        </row>
        <row r="107">
          <cell r="D107">
            <v>32363534.640000001</v>
          </cell>
          <cell r="M107">
            <v>1675178</v>
          </cell>
        </row>
        <row r="124">
          <cell r="D124">
            <v>3514332.45</v>
          </cell>
          <cell r="M124">
            <v>13315</v>
          </cell>
          <cell r="O124">
            <v>12620000</v>
          </cell>
          <cell r="P124">
            <v>9685060</v>
          </cell>
          <cell r="Q124">
            <v>2934940</v>
          </cell>
        </row>
        <row r="133">
          <cell r="D133">
            <v>61298199.149999999</v>
          </cell>
          <cell r="M133">
            <v>29744848.150000002</v>
          </cell>
          <cell r="O133">
            <v>223233000</v>
          </cell>
          <cell r="P133">
            <v>92315243</v>
          </cell>
          <cell r="Q133">
            <v>130917757</v>
          </cell>
        </row>
        <row r="141">
          <cell r="D141">
            <v>2561884.81</v>
          </cell>
          <cell r="M141">
            <v>1693336.81</v>
          </cell>
          <cell r="O141">
            <v>3564000</v>
          </cell>
          <cell r="P141">
            <v>825588</v>
          </cell>
          <cell r="Q141">
            <v>2738412</v>
          </cell>
        </row>
        <row r="144">
          <cell r="D144">
            <v>1012567</v>
          </cell>
          <cell r="M144">
            <v>177194</v>
          </cell>
          <cell r="O144">
            <v>8498000</v>
          </cell>
          <cell r="P144">
            <v>5328246</v>
          </cell>
          <cell r="Q144">
            <v>3169754</v>
          </cell>
        </row>
        <row r="149">
          <cell r="D149">
            <v>447061</v>
          </cell>
          <cell r="M149">
            <v>212384</v>
          </cell>
          <cell r="O149">
            <v>547000</v>
          </cell>
          <cell r="P149">
            <v>102410</v>
          </cell>
          <cell r="Q149">
            <v>444590</v>
          </cell>
        </row>
        <row r="152">
          <cell r="D152">
            <v>16031067.51</v>
          </cell>
          <cell r="M152">
            <v>13356784.51</v>
          </cell>
          <cell r="O152">
            <v>30329000</v>
          </cell>
          <cell r="P152">
            <v>5762510</v>
          </cell>
          <cell r="Q152">
            <v>24566490</v>
          </cell>
        </row>
        <row r="192">
          <cell r="D192">
            <v>4247897</v>
          </cell>
          <cell r="M192">
            <v>2</v>
          </cell>
          <cell r="O192">
            <v>4131000</v>
          </cell>
          <cell r="P192">
            <v>5044500</v>
          </cell>
          <cell r="Q192">
            <v>265500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Index"/>
      <sheetName val="TB 2017-18 "/>
      <sheetName val="Schedules 17-18"/>
      <sheetName val="TB 2018-19"/>
      <sheetName val="Schedules 2018-19"/>
      <sheetName val="TB 2020-21"/>
      <sheetName val="Sundry Debtors"/>
      <sheetName val="Schedules 2020-21"/>
      <sheetName val="BS(1)"/>
      <sheetName val="P&amp;L(2)"/>
      <sheetName val="SCH-I - VIII(3)"/>
      <sheetName val="SCH III (4)"/>
      <sheetName val="SCH-I - VIII(5)"/>
      <sheetName val="SUB-SCH-A(6)"/>
      <sheetName val="SUB-SCH-C(80000 )"/>
      <sheetName val="SUB-SCH-B(7 )"/>
      <sheetName val="INVESTMENT (8)"/>
      <sheetName val="SUB-SCH-C-F(8)"/>
      <sheetName val="SUB-SCH-G-I (9)"/>
      <sheetName val="SUB-SCH J-K(10)"/>
      <sheetName val="SUB-SCH-L-M(11)"/>
      <sheetName val="TYPE (12) "/>
      <sheetName val="TYPE (13) "/>
      <sheetName val="TYPE (14) "/>
      <sheetName val="CFH-B.S (18)"/>
      <sheetName val="CFH-I &amp; E (19)"/>
      <sheetName val="CFH-R &amp; P (20)"/>
      <sheetName val="S.drs"/>
      <sheetName val="Depreciation Adjst."/>
      <sheetName val="CFH BS"/>
      <sheetName val="CFH P&amp;L"/>
      <sheetName val="CFH R&amp; P"/>
    </sheetNames>
    <sheetDataSet>
      <sheetData sheetId="0"/>
      <sheetData sheetId="1"/>
      <sheetData sheetId="2"/>
      <sheetData sheetId="3"/>
      <sheetData sheetId="4"/>
      <sheetData sheetId="5"/>
      <sheetData sheetId="6"/>
      <sheetData sheetId="7"/>
      <sheetData sheetId="8"/>
      <sheetData sheetId="9"/>
      <sheetData sheetId="10">
        <row r="10">
          <cell r="E10">
            <v>2569866069.8799996</v>
          </cell>
          <cell r="F10">
            <v>2455180349.21</v>
          </cell>
        </row>
        <row r="11">
          <cell r="E11">
            <v>3200611808.9099998</v>
          </cell>
          <cell r="F11">
            <v>2938933339.8199997</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X158"/>
  <sheetViews>
    <sheetView topLeftCell="A54" workbookViewId="0">
      <selection activeCell="R117" sqref="R117"/>
    </sheetView>
  </sheetViews>
  <sheetFormatPr defaultColWidth="9.1796875" defaultRowHeight="14.5" x14ac:dyDescent="0.35"/>
  <cols>
    <col min="1" max="1" width="5.7265625" style="3" customWidth="1"/>
    <col min="2" max="2" width="5.1796875" style="1" customWidth="1"/>
    <col min="3" max="3" width="52.26953125" style="2" customWidth="1"/>
    <col min="4" max="4" width="10.54296875" style="1" customWidth="1"/>
    <col min="5" max="5" width="9.81640625" style="1" hidden="1" customWidth="1"/>
    <col min="6" max="6" width="20.1796875" style="37" hidden="1" customWidth="1"/>
    <col min="7" max="8" width="18.26953125" style="37" hidden="1" customWidth="1"/>
    <col min="9" max="9" width="25" style="37" customWidth="1"/>
    <col min="10" max="10" width="18.26953125" style="37" hidden="1" customWidth="1"/>
    <col min="11" max="11" width="21.453125" style="37" customWidth="1"/>
    <col min="12" max="12" width="15.1796875" style="37" hidden="1" customWidth="1"/>
    <col min="13" max="13" width="12.54296875" style="37" hidden="1" customWidth="1"/>
    <col min="14" max="14" width="12.81640625" style="37" hidden="1" customWidth="1"/>
    <col min="15" max="15" width="15.26953125" style="37" hidden="1" customWidth="1"/>
    <col min="16" max="16" width="23.7265625" style="3" hidden="1" customWidth="1"/>
    <col min="17" max="17" width="52" style="2" hidden="1" customWidth="1"/>
    <col min="18" max="18" width="21.7265625" style="2" customWidth="1"/>
    <col min="19" max="19" width="32.1796875" style="2" customWidth="1"/>
    <col min="20" max="20" width="36.81640625" style="3" customWidth="1"/>
    <col min="21" max="21" width="18.26953125" style="3" customWidth="1"/>
    <col min="22" max="22" width="15.7265625" style="3" customWidth="1"/>
    <col min="23" max="16384" width="9.1796875" style="3"/>
  </cols>
  <sheetData>
    <row r="1" spans="1:21" ht="17" x14ac:dyDescent="0.35">
      <c r="A1" s="3" t="s">
        <v>153</v>
      </c>
      <c r="F1" s="36"/>
      <c r="G1" s="36"/>
      <c r="H1" s="36"/>
      <c r="I1" s="36"/>
      <c r="J1" s="36"/>
      <c r="K1" s="36"/>
      <c r="R1" s="394"/>
    </row>
    <row r="2" spans="1:21" ht="17" x14ac:dyDescent="0.35">
      <c r="B2" s="640" t="s">
        <v>157</v>
      </c>
      <c r="C2" s="640"/>
      <c r="D2" s="640"/>
      <c r="E2" s="640"/>
      <c r="F2" s="640"/>
      <c r="G2" s="640"/>
      <c r="H2" s="640"/>
      <c r="I2" s="640"/>
      <c r="J2" s="640"/>
      <c r="K2" s="640"/>
      <c r="L2" s="640"/>
      <c r="M2" s="640"/>
      <c r="N2" s="640"/>
      <c r="O2" s="640"/>
      <c r="P2" s="640"/>
      <c r="Q2" s="640"/>
      <c r="R2" s="394"/>
      <c r="S2" s="362"/>
    </row>
    <row r="3" spans="1:21" ht="43.5" x14ac:dyDescent="0.35">
      <c r="B3" s="4"/>
      <c r="C3" s="4"/>
      <c r="E3" s="79" t="s">
        <v>363</v>
      </c>
      <c r="F3" s="328" t="s">
        <v>362</v>
      </c>
      <c r="G3" s="641" t="s">
        <v>360</v>
      </c>
      <c r="H3" s="641"/>
      <c r="I3" s="641" t="s">
        <v>359</v>
      </c>
      <c r="J3" s="641"/>
      <c r="K3" s="641"/>
    </row>
    <row r="4" spans="1:21" s="5" customFormat="1" ht="29" x14ac:dyDescent="0.35">
      <c r="B4" s="371" t="s">
        <v>0</v>
      </c>
      <c r="C4" s="372" t="s">
        <v>1</v>
      </c>
      <c r="D4" s="372" t="s">
        <v>2</v>
      </c>
      <c r="E4" s="372" t="s">
        <v>269</v>
      </c>
      <c r="F4" s="371" t="s">
        <v>155</v>
      </c>
      <c r="G4" s="74" t="s">
        <v>357</v>
      </c>
      <c r="H4" s="74" t="s">
        <v>358</v>
      </c>
      <c r="I4" s="371" t="s">
        <v>185</v>
      </c>
      <c r="J4" s="371" t="s">
        <v>186</v>
      </c>
      <c r="K4" s="371" t="s">
        <v>411</v>
      </c>
      <c r="L4" s="372" t="s">
        <v>4</v>
      </c>
      <c r="M4" s="372" t="s">
        <v>5</v>
      </c>
      <c r="N4" s="372" t="s">
        <v>6</v>
      </c>
      <c r="O4" s="372" t="s">
        <v>154</v>
      </c>
      <c r="P4" s="371" t="s">
        <v>3</v>
      </c>
      <c r="Q4" s="371" t="s">
        <v>156</v>
      </c>
      <c r="R4" s="371" t="s">
        <v>434</v>
      </c>
      <c r="S4" s="371" t="s">
        <v>438</v>
      </c>
      <c r="T4" s="5" t="s">
        <v>414</v>
      </c>
    </row>
    <row r="5" spans="1:21" s="5" customFormat="1" ht="19.5" x14ac:dyDescent="0.45">
      <c r="B5" s="369"/>
      <c r="C5" s="396" t="s">
        <v>7</v>
      </c>
      <c r="D5" s="367"/>
      <c r="E5" s="367"/>
      <c r="F5" s="39"/>
      <c r="G5" s="39"/>
      <c r="H5" s="39"/>
      <c r="I5" s="39"/>
      <c r="J5" s="39"/>
      <c r="K5" s="39"/>
      <c r="L5" s="39"/>
      <c r="M5" s="39"/>
      <c r="N5" s="39"/>
      <c r="O5" s="39"/>
      <c r="P5" s="367"/>
      <c r="Q5" s="371"/>
      <c r="R5" s="261"/>
      <c r="S5" s="261"/>
    </row>
    <row r="6" spans="1:21" x14ac:dyDescent="0.35">
      <c r="A6" s="3">
        <v>1</v>
      </c>
      <c r="B6" s="3"/>
      <c r="C6" s="3"/>
      <c r="D6" s="3"/>
      <c r="E6" s="3"/>
      <c r="F6" s="3"/>
      <c r="G6" s="3"/>
      <c r="H6" s="3"/>
      <c r="I6" s="3"/>
      <c r="J6" s="3"/>
      <c r="K6" s="3"/>
      <c r="L6" s="3"/>
      <c r="M6" s="3"/>
      <c r="N6" s="3"/>
      <c r="O6" s="3"/>
      <c r="Q6" s="3"/>
      <c r="R6" s="3"/>
      <c r="S6" s="3"/>
    </row>
    <row r="7" spans="1:21" ht="58" x14ac:dyDescent="0.35">
      <c r="A7" s="3">
        <v>2</v>
      </c>
      <c r="B7" s="373">
        <v>2</v>
      </c>
      <c r="C7" s="82" t="s">
        <v>11</v>
      </c>
      <c r="D7" s="363">
        <v>1</v>
      </c>
      <c r="E7" s="363" t="s">
        <v>265</v>
      </c>
      <c r="F7" s="80">
        <v>30000000</v>
      </c>
      <c r="G7" s="80">
        <f>Annexures!D10</f>
        <v>91839658.120000005</v>
      </c>
      <c r="H7" s="80">
        <f>Annexures!M10</f>
        <v>2</v>
      </c>
      <c r="I7" s="80">
        <v>65389275</v>
      </c>
      <c r="J7" s="80">
        <f>I7*0.95</f>
        <v>62119811.25</v>
      </c>
      <c r="K7" s="80">
        <v>3269463</v>
      </c>
      <c r="L7" s="81">
        <v>39000</v>
      </c>
      <c r="M7" s="81">
        <f t="shared" ref="M7:M13" si="0">L7*18%</f>
        <v>7020</v>
      </c>
      <c r="N7" s="81">
        <v>3000</v>
      </c>
      <c r="O7" s="81">
        <f t="shared" ref="O7:O13" si="1">L7+M7+N7</f>
        <v>49020</v>
      </c>
      <c r="P7" s="55" t="s">
        <v>10</v>
      </c>
      <c r="Q7" s="376" t="s">
        <v>12</v>
      </c>
      <c r="R7" s="80">
        <v>1500000</v>
      </c>
      <c r="S7" s="55" t="s">
        <v>417</v>
      </c>
      <c r="T7" s="283" t="s">
        <v>418</v>
      </c>
    </row>
    <row r="8" spans="1:21" ht="130.5" x14ac:dyDescent="0.35">
      <c r="A8" s="3">
        <v>3</v>
      </c>
      <c r="B8" s="373">
        <v>3</v>
      </c>
      <c r="C8" s="82" t="s">
        <v>13</v>
      </c>
      <c r="D8" s="363">
        <v>26</v>
      </c>
      <c r="E8" s="363" t="s">
        <v>265</v>
      </c>
      <c r="F8" s="80">
        <v>30000000</v>
      </c>
      <c r="G8" s="80">
        <f>Annexures!D22</f>
        <v>43467197.629999995</v>
      </c>
      <c r="H8" s="80">
        <f>Annexures!M22</f>
        <v>14748588</v>
      </c>
      <c r="I8" s="80">
        <v>85159677</v>
      </c>
      <c r="J8" s="80">
        <f>Annexures!P22</f>
        <v>51418431.132499985</v>
      </c>
      <c r="K8" s="80">
        <f>Annexures!Q22</f>
        <v>33741245.867500007</v>
      </c>
      <c r="L8" s="81">
        <v>58650</v>
      </c>
      <c r="M8" s="81">
        <f t="shared" si="0"/>
        <v>10557</v>
      </c>
      <c r="N8" s="81">
        <v>3000</v>
      </c>
      <c r="O8" s="81">
        <f t="shared" si="1"/>
        <v>72207</v>
      </c>
      <c r="P8" s="55" t="s">
        <v>10</v>
      </c>
      <c r="Q8" s="376" t="s">
        <v>14</v>
      </c>
      <c r="R8" s="80">
        <v>5000000</v>
      </c>
      <c r="S8" s="23" t="s">
        <v>439</v>
      </c>
      <c r="T8" s="23" t="s">
        <v>419</v>
      </c>
      <c r="U8" s="3">
        <f>43</f>
        <v>43</v>
      </c>
    </row>
    <row r="9" spans="1:21" ht="29" x14ac:dyDescent="0.35">
      <c r="A9" s="3">
        <v>4</v>
      </c>
      <c r="B9" s="373">
        <v>4</v>
      </c>
      <c r="C9" s="82" t="s">
        <v>15</v>
      </c>
      <c r="D9" s="363">
        <v>1</v>
      </c>
      <c r="E9" s="363" t="s">
        <v>266</v>
      </c>
      <c r="F9" s="80">
        <v>1425000</v>
      </c>
      <c r="G9" s="80">
        <f>Annexures!D25</f>
        <v>2827981.4</v>
      </c>
      <c r="H9" s="80">
        <f>Annexures!M25</f>
        <v>1572048.4</v>
      </c>
      <c r="I9" s="80">
        <f>Annexures!O25</f>
        <v>5000000</v>
      </c>
      <c r="J9" s="80">
        <f>Annexures!P25</f>
        <v>4750000</v>
      </c>
      <c r="K9" s="80">
        <f>Annexures!Q25</f>
        <v>250000</v>
      </c>
      <c r="L9" s="81">
        <v>6163</v>
      </c>
      <c r="M9" s="81">
        <f t="shared" si="0"/>
        <v>1109.3399999999999</v>
      </c>
      <c r="N9" s="81">
        <v>0</v>
      </c>
      <c r="O9" s="81">
        <f t="shared" si="1"/>
        <v>7272.34</v>
      </c>
      <c r="P9" s="55" t="s">
        <v>10</v>
      </c>
      <c r="Q9" s="376" t="s">
        <v>16</v>
      </c>
      <c r="R9" s="80">
        <v>250000</v>
      </c>
      <c r="S9" s="55" t="s">
        <v>420</v>
      </c>
      <c r="T9" s="23" t="s">
        <v>421</v>
      </c>
    </row>
    <row r="10" spans="1:21" ht="31" x14ac:dyDescent="0.35">
      <c r="A10" s="3">
        <v>5</v>
      </c>
      <c r="B10" s="373">
        <v>5</v>
      </c>
      <c r="C10" s="82" t="s">
        <v>189</v>
      </c>
      <c r="D10" s="363">
        <v>1</v>
      </c>
      <c r="E10" s="363"/>
      <c r="F10" s="80">
        <v>2375000</v>
      </c>
      <c r="G10" s="80"/>
      <c r="H10" s="80"/>
      <c r="I10" s="80">
        <v>2500000</v>
      </c>
      <c r="J10" s="80"/>
      <c r="K10" s="80">
        <v>125000</v>
      </c>
      <c r="L10" s="81">
        <v>1098</v>
      </c>
      <c r="M10" s="81">
        <f t="shared" si="0"/>
        <v>197.64</v>
      </c>
      <c r="N10" s="81">
        <v>0</v>
      </c>
      <c r="O10" s="81">
        <f t="shared" si="1"/>
        <v>1295.6399999999999</v>
      </c>
      <c r="P10" s="55" t="s">
        <v>19</v>
      </c>
      <c r="Q10" s="376" t="s">
        <v>18</v>
      </c>
      <c r="R10" s="80">
        <v>125000</v>
      </c>
      <c r="S10" s="23"/>
      <c r="T10" s="23"/>
    </row>
    <row r="11" spans="1:21" ht="15.5" x14ac:dyDescent="0.35">
      <c r="A11" s="3">
        <v>6</v>
      </c>
      <c r="B11" s="373">
        <v>6</v>
      </c>
      <c r="C11" s="82" t="s">
        <v>20</v>
      </c>
      <c r="D11" s="363">
        <v>1</v>
      </c>
      <c r="E11" s="363" t="s">
        <v>265</v>
      </c>
      <c r="F11" s="80">
        <v>2500000</v>
      </c>
      <c r="G11" s="80">
        <f>Annexures!D28</f>
        <v>4202075</v>
      </c>
      <c r="H11" s="80">
        <f>Annexures!M28</f>
        <v>1</v>
      </c>
      <c r="I11" s="80">
        <v>6394462</v>
      </c>
      <c r="J11" s="80">
        <f>Annexures!P28</f>
        <v>2429895.5599999996</v>
      </c>
      <c r="K11" s="80">
        <f>Annexures!Q28</f>
        <v>3964566.4400000004</v>
      </c>
      <c r="L11" s="81">
        <v>11969</v>
      </c>
      <c r="M11" s="81">
        <f t="shared" si="0"/>
        <v>2154.42</v>
      </c>
      <c r="N11" s="81">
        <v>0</v>
      </c>
      <c r="O11" s="81">
        <f t="shared" si="1"/>
        <v>14123.42</v>
      </c>
      <c r="P11" s="55" t="s">
        <v>10</v>
      </c>
      <c r="Q11" s="376" t="s">
        <v>21</v>
      </c>
      <c r="R11" s="80">
        <v>1000000</v>
      </c>
      <c r="S11" s="55" t="s">
        <v>423</v>
      </c>
      <c r="T11" s="55" t="s">
        <v>424</v>
      </c>
    </row>
    <row r="12" spans="1:21" ht="58" x14ac:dyDescent="0.35">
      <c r="A12" s="3">
        <v>7</v>
      </c>
      <c r="B12" s="373">
        <v>7</v>
      </c>
      <c r="C12" s="82" t="s">
        <v>22</v>
      </c>
      <c r="D12" s="363"/>
      <c r="E12" s="363" t="s">
        <v>267</v>
      </c>
      <c r="F12" s="80">
        <v>23750000</v>
      </c>
      <c r="G12" s="80">
        <f>Annexures!D31</f>
        <v>35340810.340000004</v>
      </c>
      <c r="H12" s="80">
        <f>Annexures!M31</f>
        <v>17629525.16</v>
      </c>
      <c r="I12" s="80">
        <f>Annexures!O31</f>
        <v>41231000</v>
      </c>
      <c r="J12" s="80">
        <f>Annexures!P31</f>
        <v>19584725</v>
      </c>
      <c r="K12" s="80">
        <v>21646275</v>
      </c>
      <c r="L12" s="81">
        <v>118750</v>
      </c>
      <c r="M12" s="81">
        <f t="shared" si="0"/>
        <v>21375</v>
      </c>
      <c r="N12" s="81">
        <v>0</v>
      </c>
      <c r="O12" s="81">
        <f t="shared" si="1"/>
        <v>140125</v>
      </c>
      <c r="P12" s="55" t="s">
        <v>19</v>
      </c>
      <c r="Q12" s="376" t="s">
        <v>23</v>
      </c>
      <c r="R12" s="428">
        <v>7500000</v>
      </c>
      <c r="S12" s="55" t="s">
        <v>425</v>
      </c>
      <c r="T12" s="23" t="s">
        <v>426</v>
      </c>
    </row>
    <row r="13" spans="1:21" ht="31" x14ac:dyDescent="0.35">
      <c r="A13" s="3">
        <v>8</v>
      </c>
      <c r="B13" s="373">
        <v>8</v>
      </c>
      <c r="C13" s="129" t="s">
        <v>24</v>
      </c>
      <c r="D13" s="130"/>
      <c r="E13" s="363" t="s">
        <v>268</v>
      </c>
      <c r="F13" s="131">
        <v>43400000</v>
      </c>
      <c r="G13" s="131">
        <f>Annexures!D34</f>
        <v>57945859.259999998</v>
      </c>
      <c r="H13" s="131">
        <f>Annexures!M34</f>
        <v>2362500</v>
      </c>
      <c r="I13" s="131">
        <f>Annexures!O36</f>
        <v>68000000</v>
      </c>
      <c r="J13" s="131">
        <f>Annexures!P36</f>
        <v>59945000</v>
      </c>
      <c r="K13" s="131">
        <v>8055000</v>
      </c>
      <c r="L13" s="81">
        <v>20073</v>
      </c>
      <c r="M13" s="81">
        <f t="shared" si="0"/>
        <v>3613.14</v>
      </c>
      <c r="N13" s="81"/>
      <c r="O13" s="81">
        <f t="shared" si="1"/>
        <v>23686.14</v>
      </c>
      <c r="P13" s="55" t="s">
        <v>19</v>
      </c>
      <c r="Q13" s="368" t="s">
        <v>25</v>
      </c>
      <c r="R13" s="236">
        <v>8055000</v>
      </c>
      <c r="S13" s="23" t="s">
        <v>427</v>
      </c>
      <c r="T13" s="23" t="s">
        <v>427</v>
      </c>
    </row>
    <row r="14" spans="1:21" x14ac:dyDescent="0.35">
      <c r="B14" s="3"/>
      <c r="C14" s="3"/>
      <c r="D14" s="3"/>
      <c r="E14" s="3"/>
      <c r="F14" s="3"/>
      <c r="G14" s="3"/>
      <c r="H14" s="3"/>
      <c r="I14" s="3"/>
      <c r="J14" s="3"/>
      <c r="K14" s="3"/>
      <c r="L14" s="3"/>
      <c r="M14" s="3"/>
      <c r="N14" s="3"/>
      <c r="O14" s="3"/>
      <c r="Q14" s="3"/>
      <c r="R14" s="3"/>
      <c r="S14" s="3"/>
    </row>
    <row r="15" spans="1:21" s="440" customFormat="1" ht="43.5" x14ac:dyDescent="0.35">
      <c r="A15" s="440">
        <v>13</v>
      </c>
      <c r="B15" s="142">
        <v>13</v>
      </c>
      <c r="C15" s="226" t="s">
        <v>102</v>
      </c>
      <c r="D15" s="435"/>
      <c r="E15" s="142"/>
      <c r="F15" s="144">
        <v>170000000</v>
      </c>
      <c r="G15" s="144">
        <v>139456732</v>
      </c>
      <c r="H15" s="436">
        <v>102643976</v>
      </c>
      <c r="I15" s="437">
        <v>180000000</v>
      </c>
      <c r="J15" s="436">
        <v>51300000</v>
      </c>
      <c r="K15" s="436">
        <v>128700000</v>
      </c>
      <c r="L15" s="436"/>
      <c r="M15" s="436"/>
      <c r="N15" s="436"/>
      <c r="O15" s="436"/>
      <c r="P15" s="226"/>
      <c r="Q15" s="78"/>
      <c r="R15" s="438">
        <v>20000000</v>
      </c>
      <c r="S15" s="226" t="s">
        <v>432</v>
      </c>
      <c r="T15" s="441" t="s">
        <v>433</v>
      </c>
    </row>
    <row r="16" spans="1:21" ht="15.5" x14ac:dyDescent="0.35">
      <c r="B16" s="373"/>
      <c r="C16" s="372" t="s">
        <v>473</v>
      </c>
      <c r="D16" s="373"/>
      <c r="E16" s="373"/>
      <c r="F16" s="58">
        <f t="shared" ref="F16:K16" si="2">SUM(F6:F15)</f>
        <v>303450000</v>
      </c>
      <c r="G16" s="58">
        <f t="shared" si="2"/>
        <v>375080313.75</v>
      </c>
      <c r="H16" s="58">
        <f t="shared" si="2"/>
        <v>138956640.56</v>
      </c>
      <c r="I16" s="58">
        <f t="shared" si="2"/>
        <v>453674414</v>
      </c>
      <c r="J16" s="58">
        <f t="shared" si="2"/>
        <v>251547862.9425</v>
      </c>
      <c r="K16" s="58">
        <f t="shared" si="2"/>
        <v>199751550.3075</v>
      </c>
      <c r="L16" s="308">
        <f t="shared" ref="L16:Q16" ca="1" si="3">SUM(L4:L135)</f>
        <v>1545128</v>
      </c>
      <c r="M16" s="308">
        <f t="shared" ca="1" si="3"/>
        <v>278123.04000000004</v>
      </c>
      <c r="N16" s="308">
        <f t="shared" ca="1" si="3"/>
        <v>56855</v>
      </c>
      <c r="O16" s="308">
        <f t="shared" ca="1" si="3"/>
        <v>1880106.04</v>
      </c>
      <c r="P16" s="308">
        <f t="shared" ca="1" si="3"/>
        <v>0</v>
      </c>
      <c r="Q16" s="308">
        <f t="shared" ca="1" si="3"/>
        <v>0</v>
      </c>
      <c r="R16" s="58">
        <f>SUM(R6:R15)</f>
        <v>43430000</v>
      </c>
      <c r="S16" s="3"/>
    </row>
    <row r="17" spans="1:20" x14ac:dyDescent="0.35">
      <c r="B17" s="287"/>
      <c r="C17" s="3"/>
      <c r="D17" s="287"/>
      <c r="E17" s="287"/>
      <c r="F17" s="273"/>
      <c r="G17" s="273"/>
      <c r="H17" s="273"/>
      <c r="I17" s="273"/>
      <c r="J17" s="273"/>
      <c r="K17" s="273"/>
      <c r="L17" s="273"/>
      <c r="M17" s="273"/>
      <c r="N17" s="273"/>
      <c r="O17" s="273"/>
      <c r="P17" s="273"/>
      <c r="Q17" s="273"/>
      <c r="R17" s="273"/>
      <c r="S17" s="3"/>
    </row>
    <row r="18" spans="1:20" ht="21" x14ac:dyDescent="0.35">
      <c r="B18" s="3"/>
      <c r="C18" s="395" t="s">
        <v>34</v>
      </c>
      <c r="D18" s="3"/>
      <c r="E18" s="3"/>
      <c r="F18" s="3"/>
      <c r="G18" s="3"/>
      <c r="H18" s="3"/>
      <c r="I18" s="3"/>
      <c r="J18" s="3"/>
      <c r="K18" s="3"/>
      <c r="L18" s="3"/>
      <c r="M18" s="3"/>
      <c r="N18" s="3"/>
      <c r="O18" s="3"/>
      <c r="Q18" s="3"/>
      <c r="R18" s="3"/>
      <c r="S18" s="3"/>
    </row>
    <row r="19" spans="1:20" ht="15.5" x14ac:dyDescent="0.35">
      <c r="B19" s="132" t="s">
        <v>35</v>
      </c>
      <c r="C19" s="55"/>
      <c r="D19" s="363"/>
      <c r="E19" s="363"/>
      <c r="F19" s="80"/>
      <c r="G19" s="80"/>
      <c r="H19" s="80"/>
      <c r="I19" s="80"/>
      <c r="J19" s="80"/>
      <c r="K19" s="80"/>
      <c r="L19" s="53"/>
      <c r="M19" s="53"/>
      <c r="N19" s="53"/>
      <c r="O19" s="53"/>
      <c r="P19" s="55"/>
      <c r="Q19" s="52"/>
      <c r="R19" s="294"/>
      <c r="S19" s="52"/>
      <c r="T19" s="301"/>
    </row>
    <row r="20" spans="1:20" ht="101.5" x14ac:dyDescent="0.35">
      <c r="A20" s="3">
        <v>14</v>
      </c>
      <c r="B20" s="373">
        <v>1</v>
      </c>
      <c r="C20" s="82" t="s">
        <v>36</v>
      </c>
      <c r="D20" s="363"/>
      <c r="E20" s="363" t="s">
        <v>270</v>
      </c>
      <c r="F20" s="80">
        <v>110000000</v>
      </c>
      <c r="G20" s="80">
        <f>Annexures!D63</f>
        <v>110109161.06999999</v>
      </c>
      <c r="H20" s="80">
        <f>Annexures!M63</f>
        <v>54045479.07</v>
      </c>
      <c r="I20" s="80">
        <v>692238040</v>
      </c>
      <c r="J20" s="80">
        <f>Annexures!P63</f>
        <v>550358771</v>
      </c>
      <c r="K20" s="80">
        <v>149696476</v>
      </c>
      <c r="L20" s="81">
        <v>22044</v>
      </c>
      <c r="M20" s="81">
        <f>L20*18%</f>
        <v>3967.92</v>
      </c>
      <c r="N20" s="81">
        <v>0</v>
      </c>
      <c r="O20" s="81">
        <f>L20+M20+N20</f>
        <v>26011.919999999998</v>
      </c>
      <c r="P20" s="55" t="s">
        <v>19</v>
      </c>
      <c r="Q20" s="368" t="s">
        <v>37</v>
      </c>
      <c r="R20" s="390">
        <v>20000000</v>
      </c>
      <c r="S20" s="33" t="s">
        <v>441</v>
      </c>
      <c r="T20" s="376" t="s">
        <v>468</v>
      </c>
    </row>
    <row r="21" spans="1:20" ht="15.5" x14ac:dyDescent="0.35">
      <c r="B21" s="132" t="s">
        <v>39</v>
      </c>
      <c r="C21" s="55"/>
      <c r="D21" s="363"/>
      <c r="E21" s="363"/>
      <c r="F21" s="80"/>
      <c r="G21" s="80"/>
      <c r="H21" s="80"/>
      <c r="I21" s="80"/>
      <c r="J21" s="80"/>
      <c r="K21" s="80"/>
      <c r="L21" s="53"/>
      <c r="M21" s="53"/>
      <c r="N21" s="53"/>
      <c r="O21" s="53"/>
      <c r="P21" s="55"/>
      <c r="Q21" s="52"/>
      <c r="R21" s="294"/>
      <c r="S21" s="52"/>
      <c r="T21" s="301"/>
    </row>
    <row r="22" spans="1:20" ht="15.5" x14ac:dyDescent="0.35">
      <c r="B22" s="132" t="s">
        <v>40</v>
      </c>
      <c r="C22" s="134"/>
      <c r="D22" s="363"/>
      <c r="E22" s="363"/>
      <c r="F22" s="80"/>
      <c r="G22" s="80"/>
      <c r="H22" s="80"/>
      <c r="I22" s="80"/>
      <c r="J22" s="80"/>
      <c r="K22" s="80"/>
      <c r="L22" s="53"/>
      <c r="M22" s="53"/>
      <c r="N22" s="53"/>
      <c r="O22" s="53"/>
      <c r="P22" s="55"/>
      <c r="Q22" s="52"/>
      <c r="R22" s="294"/>
      <c r="S22" s="52"/>
      <c r="T22" s="301"/>
    </row>
    <row r="23" spans="1:20" ht="31" x14ac:dyDescent="0.35">
      <c r="A23" s="3">
        <v>15</v>
      </c>
      <c r="B23" s="374">
        <v>1</v>
      </c>
      <c r="C23" s="82" t="s">
        <v>282</v>
      </c>
      <c r="D23" s="363" t="s">
        <v>43</v>
      </c>
      <c r="E23" s="370" t="s">
        <v>267</v>
      </c>
      <c r="F23" s="80">
        <v>6032000</v>
      </c>
      <c r="G23" s="366">
        <f>Buildings!F9</f>
        <v>738266</v>
      </c>
      <c r="H23" s="366">
        <f>Buildings!H9</f>
        <v>1</v>
      </c>
      <c r="I23" s="366">
        <f>Buildings!L9</f>
        <v>26390000</v>
      </c>
      <c r="J23" s="366">
        <f>Buildings!M9</f>
        <v>20056400</v>
      </c>
      <c r="K23" s="366">
        <f>Buildings!N9</f>
        <v>6333600</v>
      </c>
      <c r="L23" s="53">
        <v>3921</v>
      </c>
      <c r="M23" s="53">
        <v>706</v>
      </c>
      <c r="N23" s="53"/>
      <c r="O23" s="81">
        <f t="shared" ref="O23:O29" si="4">L23+M23+N23</f>
        <v>4627</v>
      </c>
      <c r="P23" s="55" t="s">
        <v>44</v>
      </c>
      <c r="Q23" s="368" t="s">
        <v>42</v>
      </c>
      <c r="R23" s="295">
        <v>200000</v>
      </c>
      <c r="S23" s="281"/>
      <c r="T23" s="23" t="s">
        <v>442</v>
      </c>
    </row>
    <row r="24" spans="1:20" ht="31" x14ac:dyDescent="0.35">
      <c r="A24" s="3">
        <v>16</v>
      </c>
      <c r="B24" s="374">
        <v>2</v>
      </c>
      <c r="C24" s="82" t="s">
        <v>283</v>
      </c>
      <c r="D24" s="363" t="s">
        <v>46</v>
      </c>
      <c r="E24" s="370" t="s">
        <v>267</v>
      </c>
      <c r="F24" s="80">
        <v>2720000</v>
      </c>
      <c r="G24" s="366">
        <f>Buildings!F10</f>
        <v>2423675</v>
      </c>
      <c r="H24" s="366">
        <f>Buildings!H10</f>
        <v>824047</v>
      </c>
      <c r="I24" s="366">
        <f>Buildings!L10</f>
        <v>11900000</v>
      </c>
      <c r="J24" s="366">
        <f>Buildings!M10</f>
        <v>9044000</v>
      </c>
      <c r="K24" s="366">
        <f>Buildings!N10</f>
        <v>2856000</v>
      </c>
      <c r="L24" s="81">
        <v>1768</v>
      </c>
      <c r="M24" s="81">
        <f>L24*18%</f>
        <v>318.24</v>
      </c>
      <c r="N24" s="81">
        <v>0</v>
      </c>
      <c r="O24" s="81">
        <f t="shared" si="4"/>
        <v>2086.2399999999998</v>
      </c>
      <c r="P24" s="55" t="s">
        <v>44</v>
      </c>
      <c r="Q24" s="368" t="s">
        <v>42</v>
      </c>
      <c r="R24" s="295">
        <v>100000</v>
      </c>
      <c r="S24" s="281"/>
      <c r="T24" s="23" t="s">
        <v>442</v>
      </c>
    </row>
    <row r="25" spans="1:20" ht="29" x14ac:dyDescent="0.35">
      <c r="A25" s="3">
        <v>17</v>
      </c>
      <c r="B25" s="373">
        <v>3</v>
      </c>
      <c r="C25" s="55" t="s">
        <v>47</v>
      </c>
      <c r="D25" s="79" t="s">
        <v>307</v>
      </c>
      <c r="E25" s="373" t="s">
        <v>267</v>
      </c>
      <c r="F25" s="80">
        <v>3248000</v>
      </c>
      <c r="G25" s="366">
        <f>Buildings!F11</f>
        <v>3090011</v>
      </c>
      <c r="H25" s="366">
        <f>Buildings!H11</f>
        <v>1485816</v>
      </c>
      <c r="I25" s="366">
        <f>Buildings!L11</f>
        <v>24360000</v>
      </c>
      <c r="J25" s="366">
        <f>Buildings!M11</f>
        <v>3239880</v>
      </c>
      <c r="K25" s="366">
        <f>Buildings!N11</f>
        <v>21120120</v>
      </c>
      <c r="L25" s="81">
        <v>2111</v>
      </c>
      <c r="M25" s="81">
        <f>L25*18%</f>
        <v>379.97999999999996</v>
      </c>
      <c r="N25" s="81">
        <v>0</v>
      </c>
      <c r="O25" s="81">
        <f t="shared" si="4"/>
        <v>2490.98</v>
      </c>
      <c r="P25" s="55" t="s">
        <v>44</v>
      </c>
      <c r="Q25" s="368" t="s">
        <v>42</v>
      </c>
      <c r="R25" s="295">
        <v>500000</v>
      </c>
      <c r="S25" s="281"/>
      <c r="T25" s="23" t="s">
        <v>442</v>
      </c>
    </row>
    <row r="26" spans="1:20" ht="15.5" x14ac:dyDescent="0.35">
      <c r="B26" s="132" t="s">
        <v>49</v>
      </c>
      <c r="C26" s="55"/>
      <c r="D26" s="373"/>
      <c r="E26" s="373"/>
      <c r="F26" s="80"/>
      <c r="G26" s="80"/>
      <c r="H26" s="80"/>
      <c r="I26" s="80"/>
      <c r="J26" s="80"/>
      <c r="K26" s="80"/>
      <c r="L26" s="53"/>
      <c r="M26" s="53"/>
      <c r="N26" s="53"/>
      <c r="O26" s="81"/>
      <c r="P26" s="55"/>
      <c r="Q26" s="52"/>
      <c r="R26" s="296"/>
      <c r="S26" s="281"/>
      <c r="T26" s="55"/>
    </row>
    <row r="27" spans="1:20" ht="31" x14ac:dyDescent="0.35">
      <c r="A27" s="3">
        <v>18</v>
      </c>
      <c r="B27" s="374">
        <v>4</v>
      </c>
      <c r="C27" s="82" t="s">
        <v>277</v>
      </c>
      <c r="D27" s="363" t="s">
        <v>51</v>
      </c>
      <c r="E27" s="373"/>
      <c r="F27" s="80">
        <v>22560000</v>
      </c>
      <c r="G27" s="366">
        <f>Buildings!F13</f>
        <v>460340</v>
      </c>
      <c r="H27" s="366">
        <f>Buildings!H13</f>
        <v>2</v>
      </c>
      <c r="I27" s="366">
        <f>Buildings!L13</f>
        <v>98700000</v>
      </c>
      <c r="J27" s="366">
        <f>Buildings!M13</f>
        <v>75012000</v>
      </c>
      <c r="K27" s="366">
        <f>Buildings!N13</f>
        <v>23688000</v>
      </c>
      <c r="L27" s="53"/>
      <c r="M27" s="53"/>
      <c r="N27" s="53"/>
      <c r="O27" s="81"/>
      <c r="P27" s="55"/>
      <c r="Q27" s="52"/>
      <c r="R27" s="295">
        <v>500000</v>
      </c>
      <c r="S27" s="281"/>
      <c r="T27" s="23" t="s">
        <v>442</v>
      </c>
    </row>
    <row r="28" spans="1:20" ht="31" x14ac:dyDescent="0.35">
      <c r="A28" s="3">
        <v>19</v>
      </c>
      <c r="B28" s="374">
        <v>5</v>
      </c>
      <c r="C28" s="82" t="s">
        <v>400</v>
      </c>
      <c r="D28" s="363" t="s">
        <v>53</v>
      </c>
      <c r="E28" s="373"/>
      <c r="F28" s="80">
        <v>10320000</v>
      </c>
      <c r="G28" s="366">
        <f>Buildings!F14</f>
        <v>6551510.1099999994</v>
      </c>
      <c r="H28" s="366">
        <f>Buildings!H14</f>
        <v>1166709.1099999999</v>
      </c>
      <c r="I28" s="366">
        <f>Buildings!L14</f>
        <v>30100000</v>
      </c>
      <c r="J28" s="366">
        <f>Buildings!M14</f>
        <v>22876000</v>
      </c>
      <c r="K28" s="366">
        <f>Buildings!N14</f>
        <v>7224000</v>
      </c>
      <c r="L28" s="53"/>
      <c r="M28" s="53"/>
      <c r="N28" s="53"/>
      <c r="O28" s="81"/>
      <c r="P28" s="55"/>
      <c r="Q28" s="52"/>
      <c r="R28" s="295">
        <v>200000</v>
      </c>
      <c r="S28" s="281"/>
      <c r="T28" s="23" t="s">
        <v>442</v>
      </c>
    </row>
    <row r="29" spans="1:20" ht="31" x14ac:dyDescent="0.35">
      <c r="A29" s="3">
        <v>20</v>
      </c>
      <c r="B29" s="373">
        <v>6</v>
      </c>
      <c r="C29" s="82" t="s">
        <v>54</v>
      </c>
      <c r="D29" s="363" t="s">
        <v>55</v>
      </c>
      <c r="E29" s="363"/>
      <c r="F29" s="642">
        <v>18624000</v>
      </c>
      <c r="G29" s="642">
        <f>SUM(Buildings!F15:F18)</f>
        <v>1948190</v>
      </c>
      <c r="H29" s="642">
        <f>SUM(Buildings!H15:H18)</f>
        <v>4</v>
      </c>
      <c r="I29" s="642">
        <f>SUM(Buildings!L15:L18)</f>
        <v>139680000</v>
      </c>
      <c r="J29" s="642">
        <f>SUM(Buildings!M15:M18)</f>
        <v>106156800</v>
      </c>
      <c r="K29" s="642">
        <f>SUM(Buildings!N15:N18)</f>
        <v>33523200</v>
      </c>
      <c r="L29" s="633">
        <v>12106</v>
      </c>
      <c r="M29" s="633">
        <f>L29*18%</f>
        <v>2179.08</v>
      </c>
      <c r="N29" s="627">
        <v>0</v>
      </c>
      <c r="O29" s="634">
        <f t="shared" si="4"/>
        <v>14285.08</v>
      </c>
      <c r="P29" s="635" t="s">
        <v>44</v>
      </c>
      <c r="Q29" s="636" t="s">
        <v>42</v>
      </c>
      <c r="R29" s="637">
        <v>500000</v>
      </c>
      <c r="S29" s="368"/>
      <c r="T29" s="628" t="s">
        <v>442</v>
      </c>
    </row>
    <row r="30" spans="1:20" ht="31" x14ac:dyDescent="0.35">
      <c r="A30" s="3">
        <v>21</v>
      </c>
      <c r="B30" s="373">
        <v>7</v>
      </c>
      <c r="C30" s="82" t="s">
        <v>56</v>
      </c>
      <c r="D30" s="363" t="s">
        <v>57</v>
      </c>
      <c r="E30" s="363"/>
      <c r="F30" s="642"/>
      <c r="G30" s="642"/>
      <c r="H30" s="642"/>
      <c r="I30" s="642"/>
      <c r="J30" s="642"/>
      <c r="K30" s="642"/>
      <c r="L30" s="633"/>
      <c r="M30" s="633"/>
      <c r="N30" s="627"/>
      <c r="O30" s="634"/>
      <c r="P30" s="635"/>
      <c r="Q30" s="636"/>
      <c r="R30" s="638"/>
      <c r="S30" s="368"/>
      <c r="T30" s="628"/>
    </row>
    <row r="31" spans="1:20" ht="31" x14ac:dyDescent="0.35">
      <c r="A31" s="3">
        <v>22</v>
      </c>
      <c r="B31" s="373">
        <v>8</v>
      </c>
      <c r="C31" s="82" t="s">
        <v>58</v>
      </c>
      <c r="D31" s="363" t="s">
        <v>59</v>
      </c>
      <c r="E31" s="363"/>
      <c r="F31" s="642"/>
      <c r="G31" s="642"/>
      <c r="H31" s="642"/>
      <c r="I31" s="642"/>
      <c r="J31" s="642"/>
      <c r="K31" s="642"/>
      <c r="L31" s="633"/>
      <c r="M31" s="633"/>
      <c r="N31" s="627"/>
      <c r="O31" s="634"/>
      <c r="P31" s="635"/>
      <c r="Q31" s="636"/>
      <c r="R31" s="638"/>
      <c r="S31" s="368"/>
      <c r="T31" s="628"/>
    </row>
    <row r="32" spans="1:20" ht="31" x14ac:dyDescent="0.35">
      <c r="A32" s="3">
        <v>23</v>
      </c>
      <c r="B32" s="373">
        <v>9</v>
      </c>
      <c r="C32" s="82" t="s">
        <v>60</v>
      </c>
      <c r="D32" s="363" t="s">
        <v>61</v>
      </c>
      <c r="E32" s="363"/>
      <c r="F32" s="642"/>
      <c r="G32" s="642"/>
      <c r="H32" s="642"/>
      <c r="I32" s="642"/>
      <c r="J32" s="642"/>
      <c r="K32" s="642"/>
      <c r="L32" s="633"/>
      <c r="M32" s="633"/>
      <c r="N32" s="627"/>
      <c r="O32" s="634"/>
      <c r="P32" s="635"/>
      <c r="Q32" s="636"/>
      <c r="R32" s="639"/>
      <c r="S32" s="368"/>
      <c r="T32" s="628"/>
    </row>
    <row r="33" spans="1:20" ht="43.5" x14ac:dyDescent="0.35">
      <c r="A33" s="3">
        <v>24</v>
      </c>
      <c r="B33" s="373">
        <v>10</v>
      </c>
      <c r="C33" s="33" t="s">
        <v>62</v>
      </c>
      <c r="D33" s="79"/>
      <c r="E33" s="363" t="s">
        <v>270</v>
      </c>
      <c r="F33" s="80">
        <v>50000000</v>
      </c>
      <c r="G33" s="80">
        <f>Annexures!D101</f>
        <v>49144714.359999999</v>
      </c>
      <c r="H33" s="80">
        <f>Annexures!M101</f>
        <v>47144906.359999999</v>
      </c>
      <c r="I33" s="80">
        <f>Annexures!O101</f>
        <v>54175276</v>
      </c>
      <c r="J33" s="80">
        <f>Annexures!P101</f>
        <v>3859988</v>
      </c>
      <c r="K33" s="80">
        <f>Annexures!Q101</f>
        <v>50315287</v>
      </c>
      <c r="L33" s="81">
        <v>10020</v>
      </c>
      <c r="M33" s="81">
        <f>L33*18%</f>
        <v>1803.6</v>
      </c>
      <c r="N33" s="81">
        <v>0</v>
      </c>
      <c r="O33" s="81">
        <f t="shared" ref="O33:O100" si="5">L33+M33+N33</f>
        <v>11823.6</v>
      </c>
      <c r="P33" s="55" t="s">
        <v>19</v>
      </c>
      <c r="Q33" s="368" t="s">
        <v>37</v>
      </c>
      <c r="R33" s="297">
        <v>5000000</v>
      </c>
      <c r="S33" s="368"/>
      <c r="T33" s="283" t="s">
        <v>442</v>
      </c>
    </row>
    <row r="34" spans="1:20" ht="43.5" x14ac:dyDescent="0.35">
      <c r="A34" s="3">
        <v>25</v>
      </c>
      <c r="B34" s="373">
        <v>11</v>
      </c>
      <c r="C34" s="33" t="s">
        <v>63</v>
      </c>
      <c r="D34" s="79"/>
      <c r="E34" s="363" t="s">
        <v>270</v>
      </c>
      <c r="F34" s="80">
        <v>420000000</v>
      </c>
      <c r="G34" s="80">
        <f>Annexures!D105</f>
        <v>552251382.20000005</v>
      </c>
      <c r="H34" s="80">
        <f>Annexures!M105</f>
        <v>490580755.19999999</v>
      </c>
      <c r="I34" s="80">
        <f>Annexures!O105</f>
        <v>925930461</v>
      </c>
      <c r="J34" s="215">
        <f>Annexures!P105</f>
        <v>197917636</v>
      </c>
      <c r="K34" s="80">
        <f>Annexures!Q105</f>
        <v>728012825</v>
      </c>
      <c r="L34" s="81">
        <v>84168</v>
      </c>
      <c r="M34" s="81">
        <f>L34*18%</f>
        <v>15150.24</v>
      </c>
      <c r="N34" s="81">
        <v>0</v>
      </c>
      <c r="O34" s="81">
        <f t="shared" si="5"/>
        <v>99318.24</v>
      </c>
      <c r="P34" s="55" t="s">
        <v>19</v>
      </c>
      <c r="Q34" s="368" t="s">
        <v>37</v>
      </c>
      <c r="R34" s="298">
        <v>80000000</v>
      </c>
      <c r="S34" s="368"/>
      <c r="T34" s="284" t="s">
        <v>443</v>
      </c>
    </row>
    <row r="35" spans="1:20" ht="43.5" x14ac:dyDescent="0.35">
      <c r="A35" s="3">
        <v>26</v>
      </c>
      <c r="B35" s="373">
        <v>12</v>
      </c>
      <c r="C35" s="33" t="s">
        <v>64</v>
      </c>
      <c r="D35" s="79"/>
      <c r="E35" s="79"/>
      <c r="F35" s="80">
        <v>150000000</v>
      </c>
      <c r="G35" s="80">
        <f>Annexures!D113</f>
        <v>32363534.640000001</v>
      </c>
      <c r="H35" s="80">
        <f>Annexures!M113</f>
        <v>1675178</v>
      </c>
      <c r="I35" s="80">
        <f>Annexures!O113</f>
        <v>286999498</v>
      </c>
      <c r="J35" s="80">
        <f>Annexures!P113</f>
        <v>20639478</v>
      </c>
      <c r="K35" s="80">
        <f>Annexures!Q113</f>
        <v>26522544</v>
      </c>
      <c r="L35" s="81">
        <v>30060</v>
      </c>
      <c r="M35" s="81">
        <f>L35*18%</f>
        <v>5410.8</v>
      </c>
      <c r="N35" s="81">
        <v>0</v>
      </c>
      <c r="O35" s="81">
        <f t="shared" si="5"/>
        <v>35470.800000000003</v>
      </c>
      <c r="P35" s="55" t="s">
        <v>19</v>
      </c>
      <c r="Q35" s="368" t="s">
        <v>37</v>
      </c>
      <c r="R35" s="304">
        <v>20000000</v>
      </c>
      <c r="S35" s="368"/>
      <c r="T35" s="283" t="s">
        <v>442</v>
      </c>
    </row>
    <row r="36" spans="1:20" ht="15.5" x14ac:dyDescent="0.35">
      <c r="B36" s="132" t="s">
        <v>65</v>
      </c>
      <c r="C36" s="55"/>
      <c r="D36" s="363"/>
      <c r="E36" s="363"/>
      <c r="F36" s="80"/>
      <c r="G36" s="80"/>
      <c r="H36" s="80"/>
      <c r="I36" s="80"/>
      <c r="J36" s="80"/>
      <c r="K36" s="80"/>
      <c r="L36" s="81"/>
      <c r="M36" s="81"/>
      <c r="N36" s="81"/>
      <c r="O36" s="81"/>
      <c r="P36" s="55"/>
      <c r="Q36" s="52"/>
      <c r="R36" s="299"/>
      <c r="S36" s="52"/>
      <c r="T36" s="284"/>
    </row>
    <row r="37" spans="1:20" ht="31" x14ac:dyDescent="0.35">
      <c r="A37" s="3">
        <v>27</v>
      </c>
      <c r="B37" s="373">
        <v>13</v>
      </c>
      <c r="C37" s="82" t="s">
        <v>66</v>
      </c>
      <c r="D37" s="363" t="s">
        <v>67</v>
      </c>
      <c r="E37" s="363"/>
      <c r="F37" s="80">
        <v>54230000</v>
      </c>
      <c r="G37" s="80"/>
      <c r="H37" s="80"/>
      <c r="I37" s="366">
        <f>Buildings!L23</f>
        <v>72630000</v>
      </c>
      <c r="J37" s="366">
        <f>Buildings!M23</f>
        <v>6899850</v>
      </c>
      <c r="K37" s="366">
        <f>Buildings!N23</f>
        <v>65730150</v>
      </c>
      <c r="L37" s="83">
        <v>25081</v>
      </c>
      <c r="M37" s="84">
        <f>L37*18%</f>
        <v>4514.58</v>
      </c>
      <c r="N37" s="83">
        <v>0</v>
      </c>
      <c r="O37" s="81">
        <f t="shared" si="5"/>
        <v>29595.58</v>
      </c>
      <c r="P37" s="55" t="s">
        <v>19</v>
      </c>
      <c r="Q37" s="368" t="s">
        <v>42</v>
      </c>
      <c r="R37" s="304">
        <v>10000000</v>
      </c>
      <c r="S37" s="368"/>
      <c r="T37" s="284" t="s">
        <v>443</v>
      </c>
    </row>
    <row r="38" spans="1:20" ht="31" x14ac:dyDescent="0.35">
      <c r="A38" s="3">
        <v>28</v>
      </c>
      <c r="B38" s="373">
        <v>14</v>
      </c>
      <c r="C38" s="82" t="s">
        <v>478</v>
      </c>
      <c r="D38" s="363" t="s">
        <v>69</v>
      </c>
      <c r="E38" s="363"/>
      <c r="F38" s="80">
        <v>28245000</v>
      </c>
      <c r="G38" s="80"/>
      <c r="H38" s="80"/>
      <c r="I38" s="366">
        <f>Buildings!L24</f>
        <v>24210000</v>
      </c>
      <c r="J38" s="366">
        <f>Buildings!M24</f>
        <v>2299950</v>
      </c>
      <c r="K38" s="366">
        <f>Buildings!N24</f>
        <v>21910050</v>
      </c>
      <c r="L38" s="83">
        <v>13063</v>
      </c>
      <c r="M38" s="84">
        <f>L38*18%</f>
        <v>2351.3399999999997</v>
      </c>
      <c r="N38" s="83">
        <v>0</v>
      </c>
      <c r="O38" s="81">
        <f t="shared" si="5"/>
        <v>15414.34</v>
      </c>
      <c r="P38" s="55" t="s">
        <v>19</v>
      </c>
      <c r="Q38" s="368" t="s">
        <v>42</v>
      </c>
      <c r="R38" s="304">
        <v>10000000</v>
      </c>
      <c r="S38" s="368"/>
      <c r="T38" s="284" t="s">
        <v>443</v>
      </c>
    </row>
    <row r="39" spans="1:20" ht="43.5" x14ac:dyDescent="0.35">
      <c r="A39" s="3">
        <v>29</v>
      </c>
      <c r="B39" s="373">
        <v>15</v>
      </c>
      <c r="C39" s="33" t="s">
        <v>70</v>
      </c>
      <c r="D39" s="79"/>
      <c r="E39" s="79"/>
      <c r="F39" s="80">
        <v>395000000</v>
      </c>
      <c r="G39" s="80">
        <f>Annexures!D119</f>
        <v>436728707.77999997</v>
      </c>
      <c r="H39" s="80">
        <f>Annexures!M119</f>
        <v>288037985.77999997</v>
      </c>
      <c r="I39" s="80">
        <f>Annexures!O119</f>
        <v>1025873622</v>
      </c>
      <c r="J39" s="80">
        <f>Annexures!P119</f>
        <v>360594964</v>
      </c>
      <c r="K39" s="80">
        <f>Annexures!Q119</f>
        <v>665278658</v>
      </c>
      <c r="L39" s="81">
        <v>79158</v>
      </c>
      <c r="M39" s="81">
        <f>L39*18%</f>
        <v>14248.439999999999</v>
      </c>
      <c r="N39" s="81">
        <v>0</v>
      </c>
      <c r="O39" s="81">
        <f t="shared" si="5"/>
        <v>93406.44</v>
      </c>
      <c r="P39" s="55" t="s">
        <v>19</v>
      </c>
      <c r="Q39" s="368" t="s">
        <v>37</v>
      </c>
      <c r="R39" s="304">
        <v>40000000</v>
      </c>
      <c r="S39" s="368"/>
      <c r="T39" s="284" t="s">
        <v>443</v>
      </c>
    </row>
    <row r="40" spans="1:20" ht="43.5" x14ac:dyDescent="0.35">
      <c r="A40" s="3">
        <v>30</v>
      </c>
      <c r="B40" s="373">
        <v>16</v>
      </c>
      <c r="C40" s="33" t="s">
        <v>470</v>
      </c>
      <c r="D40" s="13" t="s">
        <v>406</v>
      </c>
      <c r="E40" s="79"/>
      <c r="F40" s="80">
        <v>6325113</v>
      </c>
      <c r="G40" s="80"/>
      <c r="H40" s="80"/>
      <c r="I40" s="80">
        <f>Buildings!L36</f>
        <v>7366834.2000000002</v>
      </c>
      <c r="J40" s="80">
        <f>Buildings!M36</f>
        <v>419909.54939999996</v>
      </c>
      <c r="K40" s="80">
        <f>Buildings!N36</f>
        <v>6946924.6506000003</v>
      </c>
      <c r="L40" s="81">
        <v>1268</v>
      </c>
      <c r="M40" s="81">
        <f>L40*18%</f>
        <v>228.23999999999998</v>
      </c>
      <c r="N40" s="81">
        <v>0</v>
      </c>
      <c r="O40" s="81">
        <f t="shared" si="5"/>
        <v>1496.24</v>
      </c>
      <c r="P40" s="55" t="s">
        <v>19</v>
      </c>
      <c r="Q40" s="368" t="s">
        <v>37</v>
      </c>
      <c r="R40" s="304">
        <f>I40*50%</f>
        <v>3683417.1</v>
      </c>
      <c r="S40" s="368"/>
      <c r="T40" s="284" t="s">
        <v>443</v>
      </c>
    </row>
    <row r="41" spans="1:20" ht="17" x14ac:dyDescent="0.35">
      <c r="B41" s="136" t="s">
        <v>158</v>
      </c>
      <c r="C41" s="33"/>
      <c r="D41" s="79"/>
      <c r="E41" s="79"/>
      <c r="F41" s="80"/>
      <c r="G41" s="80"/>
      <c r="H41" s="80"/>
      <c r="I41" s="80"/>
      <c r="J41" s="80"/>
      <c r="K41" s="80"/>
      <c r="L41" s="53"/>
      <c r="M41" s="53"/>
      <c r="N41" s="53"/>
      <c r="O41" s="53"/>
      <c r="P41" s="55"/>
      <c r="Q41" s="52"/>
      <c r="R41" s="263"/>
      <c r="S41" s="52"/>
      <c r="T41" s="301"/>
    </row>
    <row r="42" spans="1:20" ht="31" x14ac:dyDescent="0.35">
      <c r="A42" s="55">
        <v>31</v>
      </c>
      <c r="B42" s="373">
        <v>1</v>
      </c>
      <c r="C42" s="33" t="s">
        <v>72</v>
      </c>
      <c r="D42" s="363" t="s">
        <v>74</v>
      </c>
      <c r="E42" s="363"/>
      <c r="F42" s="137">
        <v>9600000</v>
      </c>
      <c r="G42" s="137">
        <f>Annexures!D130</f>
        <v>3514332.45</v>
      </c>
      <c r="H42" s="137">
        <f>Annexures!M130</f>
        <v>13315</v>
      </c>
      <c r="I42" s="137">
        <f>Buildings!L28</f>
        <v>45936000</v>
      </c>
      <c r="J42" s="137">
        <f>Buildings!M28</f>
        <v>0</v>
      </c>
      <c r="K42" s="137">
        <f>Buildings!N28</f>
        <v>2296800</v>
      </c>
      <c r="L42" s="81">
        <v>2856</v>
      </c>
      <c r="M42" s="81">
        <f>L42*18/100</f>
        <v>514.08000000000004</v>
      </c>
      <c r="N42" s="135">
        <v>0</v>
      </c>
      <c r="O42" s="81">
        <f t="shared" si="5"/>
        <v>3370.08</v>
      </c>
      <c r="P42" s="55" t="s">
        <v>10</v>
      </c>
      <c r="Q42" s="32" t="s">
        <v>73</v>
      </c>
      <c r="R42" s="300">
        <v>100000</v>
      </c>
      <c r="S42" s="32"/>
      <c r="T42" s="283" t="s">
        <v>442</v>
      </c>
    </row>
    <row r="43" spans="1:20" ht="31" x14ac:dyDescent="0.35">
      <c r="A43" s="55">
        <v>32</v>
      </c>
      <c r="B43" s="373">
        <v>2</v>
      </c>
      <c r="C43" s="82" t="s">
        <v>75</v>
      </c>
      <c r="D43" s="363" t="s">
        <v>76</v>
      </c>
      <c r="E43" s="363"/>
      <c r="F43" s="137">
        <v>71700000</v>
      </c>
      <c r="G43" s="137">
        <f>Annexures!D139</f>
        <v>61298199.149999999</v>
      </c>
      <c r="H43" s="137">
        <f>Annexures!M139</f>
        <v>29744848.150000002</v>
      </c>
      <c r="I43" s="137">
        <f>Buildings!L29</f>
        <v>126104000</v>
      </c>
      <c r="J43" s="137">
        <f>Buildings!M29</f>
        <v>47919520</v>
      </c>
      <c r="K43" s="137">
        <f>Buildings!N29</f>
        <v>78184480</v>
      </c>
      <c r="L43" s="81">
        <v>15121</v>
      </c>
      <c r="M43" s="81">
        <f>L43*18/100</f>
        <v>2721.78</v>
      </c>
      <c r="N43" s="135">
        <v>0</v>
      </c>
      <c r="O43" s="81">
        <f t="shared" si="5"/>
        <v>17842.78</v>
      </c>
      <c r="P43" s="55" t="s">
        <v>10</v>
      </c>
      <c r="Q43" s="32" t="s">
        <v>73</v>
      </c>
      <c r="R43" s="304">
        <v>10000000</v>
      </c>
      <c r="S43" s="32"/>
      <c r="T43" s="284" t="s">
        <v>443</v>
      </c>
    </row>
    <row r="44" spans="1:20" ht="31" x14ac:dyDescent="0.35">
      <c r="A44" s="55">
        <v>33</v>
      </c>
      <c r="B44" s="373">
        <v>3</v>
      </c>
      <c r="C44" s="82" t="s">
        <v>77</v>
      </c>
      <c r="D44" s="363" t="s">
        <v>78</v>
      </c>
      <c r="E44" s="363"/>
      <c r="F44" s="137">
        <v>7400000</v>
      </c>
      <c r="G44" s="137">
        <f>Annexures!D147</f>
        <v>2561884.81</v>
      </c>
      <c r="H44" s="137">
        <f>Annexures!M147</f>
        <v>1693336.81</v>
      </c>
      <c r="I44" s="137">
        <f>Buildings!L30</f>
        <v>35460000</v>
      </c>
      <c r="J44" s="137">
        <f>Buildings!M30</f>
        <v>0</v>
      </c>
      <c r="K44" s="137">
        <f>Buildings!N30</f>
        <v>1773000</v>
      </c>
      <c r="L44" s="81">
        <v>2220</v>
      </c>
      <c r="M44" s="81">
        <f>L44*18%</f>
        <v>399.59999999999997</v>
      </c>
      <c r="N44" s="81">
        <v>0</v>
      </c>
      <c r="O44" s="81">
        <f t="shared" si="5"/>
        <v>2619.6</v>
      </c>
      <c r="P44" s="55" t="s">
        <v>79</v>
      </c>
      <c r="Q44" s="32" t="s">
        <v>73</v>
      </c>
      <c r="R44" s="296">
        <v>100000</v>
      </c>
      <c r="S44" s="32"/>
      <c r="T44" s="283" t="s">
        <v>442</v>
      </c>
    </row>
    <row r="45" spans="1:20" ht="31" x14ac:dyDescent="0.35">
      <c r="A45" s="55">
        <v>34</v>
      </c>
      <c r="B45" s="373">
        <v>4</v>
      </c>
      <c r="C45" s="33" t="s">
        <v>80</v>
      </c>
      <c r="D45" s="363" t="s">
        <v>81</v>
      </c>
      <c r="E45" s="363"/>
      <c r="F45" s="137">
        <v>20600000</v>
      </c>
      <c r="G45" s="137">
        <f>Annexures!D150</f>
        <v>1012567</v>
      </c>
      <c r="H45" s="137">
        <f>Annexures!M150</f>
        <v>177194</v>
      </c>
      <c r="I45" s="137">
        <f>Buildings!L31</f>
        <v>29700000</v>
      </c>
      <c r="J45" s="137">
        <f>Buildings!M31</f>
        <v>19750500</v>
      </c>
      <c r="K45" s="137">
        <f>Buildings!N31</f>
        <v>9949500</v>
      </c>
      <c r="L45" s="81">
        <v>5029</v>
      </c>
      <c r="M45" s="81">
        <f>L45*18/100</f>
        <v>905.22</v>
      </c>
      <c r="N45" s="135">
        <v>0</v>
      </c>
      <c r="O45" s="81">
        <f t="shared" si="5"/>
        <v>5934.22</v>
      </c>
      <c r="P45" s="55" t="s">
        <v>10</v>
      </c>
      <c r="Q45" s="32" t="s">
        <v>73</v>
      </c>
      <c r="R45" s="296">
        <v>200000</v>
      </c>
      <c r="S45" s="32"/>
      <c r="T45" s="283" t="s">
        <v>442</v>
      </c>
    </row>
    <row r="46" spans="1:20" ht="31" x14ac:dyDescent="0.35">
      <c r="A46" s="55">
        <v>35</v>
      </c>
      <c r="B46" s="373">
        <v>5</v>
      </c>
      <c r="C46" s="33" t="s">
        <v>82</v>
      </c>
      <c r="D46" s="363" t="s">
        <v>83</v>
      </c>
      <c r="E46" s="363"/>
      <c r="F46" s="137">
        <v>5200000</v>
      </c>
      <c r="G46" s="137">
        <f>Annexures!D155</f>
        <v>447061</v>
      </c>
      <c r="H46" s="137">
        <f>Annexures!M155</f>
        <v>212384</v>
      </c>
      <c r="I46" s="137">
        <f>Buildings!L32</f>
        <v>24930000</v>
      </c>
      <c r="J46" s="137">
        <f>Buildings!M32</f>
        <v>16578450</v>
      </c>
      <c r="K46" s="137">
        <f>Buildings!N32</f>
        <v>8351550</v>
      </c>
      <c r="L46" s="81">
        <v>1560</v>
      </c>
      <c r="M46" s="81">
        <f>L46*18%</f>
        <v>280.8</v>
      </c>
      <c r="N46" s="81">
        <v>0</v>
      </c>
      <c r="O46" s="81">
        <f t="shared" si="5"/>
        <v>1840.8</v>
      </c>
      <c r="P46" s="55" t="s">
        <v>79</v>
      </c>
      <c r="Q46" s="32" t="s">
        <v>73</v>
      </c>
      <c r="R46" s="296">
        <v>200000</v>
      </c>
      <c r="S46" s="32"/>
      <c r="T46" s="283" t="s">
        <v>442</v>
      </c>
    </row>
    <row r="47" spans="1:20" ht="31" x14ac:dyDescent="0.35">
      <c r="A47" s="55">
        <v>36</v>
      </c>
      <c r="B47" s="373">
        <v>6</v>
      </c>
      <c r="C47" s="33" t="s">
        <v>84</v>
      </c>
      <c r="D47" s="363" t="s">
        <v>85</v>
      </c>
      <c r="E47" s="363"/>
      <c r="F47" s="137">
        <v>54900000</v>
      </c>
      <c r="G47" s="137">
        <f>Annexures!D158</f>
        <v>16031067.51</v>
      </c>
      <c r="H47" s="137">
        <f>Annexures!M158</f>
        <v>13356784.51</v>
      </c>
      <c r="I47" s="137">
        <f>Buildings!L33</f>
        <v>65934000</v>
      </c>
      <c r="J47" s="137">
        <f>Buildings!M33</f>
        <v>12527460</v>
      </c>
      <c r="K47" s="137">
        <f>Buildings!N33</f>
        <v>53406540</v>
      </c>
      <c r="L47" s="81">
        <v>11803</v>
      </c>
      <c r="M47" s="81">
        <f>L47*18/100</f>
        <v>2124.54</v>
      </c>
      <c r="N47" s="135">
        <v>0</v>
      </c>
      <c r="O47" s="81">
        <f>L47+M47+N47</f>
        <v>13927.54</v>
      </c>
      <c r="P47" s="55" t="s">
        <v>10</v>
      </c>
      <c r="Q47" s="32" t="s">
        <v>73</v>
      </c>
      <c r="R47" s="390">
        <v>5000000</v>
      </c>
      <c r="S47" s="32"/>
      <c r="T47" s="284" t="s">
        <v>443</v>
      </c>
    </row>
    <row r="48" spans="1:20" ht="29" x14ac:dyDescent="0.35">
      <c r="A48" s="55">
        <v>37</v>
      </c>
      <c r="B48" s="373">
        <v>7</v>
      </c>
      <c r="C48" s="55" t="s">
        <v>401</v>
      </c>
      <c r="D48" s="23" t="s">
        <v>402</v>
      </c>
      <c r="E48" s="55"/>
      <c r="F48" s="324"/>
      <c r="G48" s="324"/>
      <c r="H48" s="324"/>
      <c r="I48" s="325">
        <f>Buildings!L34</f>
        <v>74900000</v>
      </c>
      <c r="J48" s="325">
        <f>Buildings!M34</f>
        <v>35577500</v>
      </c>
      <c r="K48" s="325">
        <f>Buildings!N34</f>
        <v>39322500</v>
      </c>
      <c r="L48" s="3"/>
      <c r="M48" s="3"/>
      <c r="N48" s="3"/>
      <c r="O48" s="3"/>
      <c r="Q48" s="3"/>
      <c r="R48" s="326">
        <v>1500000</v>
      </c>
      <c r="S48" s="55"/>
      <c r="T48" s="283" t="s">
        <v>442</v>
      </c>
    </row>
    <row r="49" spans="1:20" ht="31" x14ac:dyDescent="0.35">
      <c r="A49" s="3">
        <v>38</v>
      </c>
      <c r="B49" s="373">
        <v>8</v>
      </c>
      <c r="C49" s="259" t="s">
        <v>408</v>
      </c>
      <c r="D49" s="13" t="s">
        <v>409</v>
      </c>
      <c r="E49" s="386"/>
      <c r="F49" s="38"/>
      <c r="G49" s="387">
        <f t="shared" ref="G49:R50" si="6">G19+G22+G23+G24+G26+G27+G28+G32+G33+G34+G36+G37+G38+G39+G41+G42+G43+G44+G45+G46+G47+G48</f>
        <v>1133163707.3700001</v>
      </c>
      <c r="H49" s="387">
        <f t="shared" si="6"/>
        <v>872952268.91999984</v>
      </c>
      <c r="I49" s="391">
        <v>396221025.20000005</v>
      </c>
      <c r="J49" s="391">
        <f t="shared" si="6"/>
        <v>830914218</v>
      </c>
      <c r="K49" s="391">
        <v>388692825.72120005</v>
      </c>
      <c r="L49" s="387">
        <f t="shared" si="6"/>
        <v>255768</v>
      </c>
      <c r="M49" s="387">
        <f t="shared" si="6"/>
        <v>46038.460000000006</v>
      </c>
      <c r="N49" s="387">
        <f t="shared" si="6"/>
        <v>0</v>
      </c>
      <c r="O49" s="387">
        <f t="shared" si="6"/>
        <v>301806.4599999999</v>
      </c>
      <c r="P49" s="387" t="e">
        <f t="shared" si="6"/>
        <v>#VALUE!</v>
      </c>
      <c r="Q49" s="387" t="e">
        <f t="shared" si="6"/>
        <v>#VALUE!</v>
      </c>
      <c r="R49" s="392">
        <v>30000000</v>
      </c>
      <c r="S49" s="389"/>
      <c r="T49" s="336" t="s">
        <v>443</v>
      </c>
    </row>
    <row r="50" spans="1:20" ht="15.5" x14ac:dyDescent="0.35">
      <c r="A50" s="55"/>
      <c r="B50" s="373"/>
      <c r="C50" s="372" t="s">
        <v>472</v>
      </c>
      <c r="D50" s="13"/>
      <c r="E50" s="38"/>
      <c r="F50" s="388">
        <f>F20+F23+F24+F25+F27+F28+F29+F33+F34+F35+F37+F38+F39+F40+F42+F43+F44+F45+F46+F47+F48+F49</f>
        <v>1446704113</v>
      </c>
      <c r="G50" s="388">
        <f t="shared" si="6"/>
        <v>2413838311.4499998</v>
      </c>
      <c r="H50" s="388">
        <f t="shared" si="6"/>
        <v>1803111014.9099998</v>
      </c>
      <c r="I50" s="388">
        <f t="shared" si="6"/>
        <v>4219738756.3999996</v>
      </c>
      <c r="J50" s="388">
        <f t="shared" si="6"/>
        <v>2342643274.5494003</v>
      </c>
      <c r="K50" s="388">
        <f t="shared" si="6"/>
        <v>2391135030.3717999</v>
      </c>
      <c r="L50" s="388">
        <f t="shared" si="6"/>
        <v>579125</v>
      </c>
      <c r="M50" s="388">
        <f t="shared" si="6"/>
        <v>104242.94</v>
      </c>
      <c r="N50" s="388">
        <f t="shared" si="6"/>
        <v>0</v>
      </c>
      <c r="O50" s="388">
        <f t="shared" si="6"/>
        <v>683367.93999999971</v>
      </c>
      <c r="P50" s="388" t="e">
        <f t="shared" si="6"/>
        <v>#VALUE!</v>
      </c>
      <c r="Q50" s="388" t="e">
        <f t="shared" si="6"/>
        <v>#VALUE!</v>
      </c>
      <c r="R50" s="388">
        <f t="shared" si="6"/>
        <v>237783417.09999999</v>
      </c>
      <c r="S50" s="264"/>
      <c r="T50" s="323"/>
    </row>
    <row r="51" spans="1:20" ht="15.5" x14ac:dyDescent="0.35">
      <c r="B51" s="287"/>
      <c r="C51" s="259"/>
      <c r="D51" s="256"/>
      <c r="E51" s="90"/>
      <c r="F51" s="90"/>
      <c r="G51" s="319"/>
      <c r="H51" s="320"/>
      <c r="I51" s="321"/>
      <c r="J51" s="321"/>
      <c r="K51" s="321"/>
      <c r="L51" s="313"/>
      <c r="M51" s="313"/>
      <c r="N51" s="313"/>
      <c r="O51" s="313"/>
      <c r="P51" s="98"/>
      <c r="Q51" s="264"/>
      <c r="R51" s="322"/>
      <c r="S51" s="264"/>
      <c r="T51" s="323"/>
    </row>
    <row r="52" spans="1:20" x14ac:dyDescent="0.35">
      <c r="B52" s="3"/>
      <c r="E52" s="3"/>
      <c r="F52" s="3"/>
      <c r="G52" s="3"/>
      <c r="H52" s="3"/>
      <c r="L52" s="3"/>
      <c r="M52" s="3"/>
      <c r="N52" s="3"/>
      <c r="O52" s="3"/>
      <c r="Q52" s="3"/>
      <c r="R52" s="3"/>
      <c r="S52" s="3"/>
    </row>
    <row r="53" spans="1:20" ht="19.5" x14ac:dyDescent="0.35">
      <c r="C53" s="133" t="s">
        <v>86</v>
      </c>
      <c r="D53" s="79"/>
      <c r="E53" s="79"/>
      <c r="F53" s="80"/>
      <c r="G53" s="80"/>
      <c r="H53" s="80"/>
      <c r="I53" s="80"/>
      <c r="J53" s="80"/>
      <c r="K53" s="80"/>
      <c r="L53" s="53"/>
      <c r="M53" s="53"/>
      <c r="N53" s="53"/>
      <c r="O53" s="53"/>
      <c r="P53" s="55"/>
      <c r="Q53" s="52"/>
      <c r="R53" s="52"/>
      <c r="S53" s="52"/>
      <c r="T53" s="42"/>
    </row>
    <row r="54" spans="1:20" ht="29" x14ac:dyDescent="0.35">
      <c r="A54" s="3">
        <v>39</v>
      </c>
      <c r="B54" s="373">
        <v>1</v>
      </c>
      <c r="C54" s="82" t="s">
        <v>87</v>
      </c>
      <c r="D54" s="363">
        <v>1</v>
      </c>
      <c r="E54" s="363" t="s">
        <v>271</v>
      </c>
      <c r="F54" s="80">
        <v>17000000</v>
      </c>
      <c r="G54" s="80">
        <f>Mechanical!G6</f>
        <v>9940193</v>
      </c>
      <c r="H54" s="80">
        <f>Mechanical!H6</f>
        <v>728602</v>
      </c>
      <c r="I54" s="393">
        <f>Annexures!O162</f>
        <v>25000000</v>
      </c>
      <c r="J54" s="80">
        <f>Annexures!P162</f>
        <v>23750000</v>
      </c>
      <c r="K54" s="80">
        <f>Annexures!Q162</f>
        <v>1250000</v>
      </c>
      <c r="L54" s="83">
        <v>10263</v>
      </c>
      <c r="M54" s="84">
        <v>1847.34</v>
      </c>
      <c r="N54" s="83">
        <v>0</v>
      </c>
      <c r="O54" s="81">
        <f t="shared" si="5"/>
        <v>12110.34</v>
      </c>
      <c r="P54" s="55" t="s">
        <v>19</v>
      </c>
      <c r="Q54" s="368" t="s">
        <v>88</v>
      </c>
      <c r="R54" s="281">
        <v>1250000</v>
      </c>
      <c r="S54" s="23" t="s">
        <v>444</v>
      </c>
      <c r="T54" s="301"/>
    </row>
    <row r="55" spans="1:20" ht="58" x14ac:dyDescent="0.35">
      <c r="A55" s="3">
        <v>40</v>
      </c>
      <c r="B55" s="373">
        <v>2</v>
      </c>
      <c r="C55" s="82" t="s">
        <v>89</v>
      </c>
      <c r="D55" s="363">
        <v>1</v>
      </c>
      <c r="E55" s="363" t="s">
        <v>271</v>
      </c>
      <c r="F55" s="80">
        <v>140000000</v>
      </c>
      <c r="G55" s="80">
        <f>Annexures!D164</f>
        <v>104307906.2</v>
      </c>
      <c r="H55" s="80">
        <f>Annexures!M164</f>
        <v>37379380.409999996</v>
      </c>
      <c r="I55" s="393">
        <f>Annexures!O164</f>
        <v>200000000</v>
      </c>
      <c r="J55" s="80">
        <f>Annexures!P164</f>
        <v>133000000</v>
      </c>
      <c r="K55" s="80">
        <f>Annexures!Q164</f>
        <v>67000000</v>
      </c>
      <c r="L55" s="83">
        <v>67150</v>
      </c>
      <c r="M55" s="84">
        <v>12087</v>
      </c>
      <c r="N55" s="83">
        <v>0</v>
      </c>
      <c r="O55" s="81">
        <f t="shared" si="5"/>
        <v>79237</v>
      </c>
      <c r="P55" s="55" t="s">
        <v>19</v>
      </c>
      <c r="Q55" s="52" t="s">
        <v>88</v>
      </c>
      <c r="R55" s="281">
        <v>5000000</v>
      </c>
      <c r="S55" s="23" t="s">
        <v>445</v>
      </c>
      <c r="T55" s="301"/>
    </row>
    <row r="56" spans="1:20" ht="43.5" x14ac:dyDescent="0.35">
      <c r="A56" s="3">
        <v>41</v>
      </c>
      <c r="B56" s="373">
        <v>3</v>
      </c>
      <c r="C56" s="138" t="s">
        <v>90</v>
      </c>
      <c r="D56" s="363">
        <v>2</v>
      </c>
      <c r="E56" s="363" t="s">
        <v>271</v>
      </c>
      <c r="F56" s="80">
        <v>5000000</v>
      </c>
      <c r="G56" s="80">
        <f>Annexures!D169</f>
        <v>4762699.26</v>
      </c>
      <c r="H56" s="80">
        <f>Annexures!M169</f>
        <v>986791.26</v>
      </c>
      <c r="I56" s="393">
        <f>Annexures!O169</f>
        <v>5000000</v>
      </c>
      <c r="J56" s="80">
        <f>Annexures!P169</f>
        <v>3562500</v>
      </c>
      <c r="K56" s="80">
        <f>Annexures!Q169</f>
        <v>1437500</v>
      </c>
      <c r="L56" s="83">
        <v>4185</v>
      </c>
      <c r="M56" s="84">
        <v>753.3</v>
      </c>
      <c r="N56" s="83">
        <v>0</v>
      </c>
      <c r="O56" s="81">
        <f t="shared" si="5"/>
        <v>4938.3</v>
      </c>
      <c r="P56" s="55" t="s">
        <v>10</v>
      </c>
      <c r="Q56" s="368" t="s">
        <v>88</v>
      </c>
      <c r="R56" s="281">
        <v>843750</v>
      </c>
      <c r="S56" s="23" t="s">
        <v>446</v>
      </c>
      <c r="T56" s="301"/>
    </row>
    <row r="57" spans="1:20" ht="58" x14ac:dyDescent="0.35">
      <c r="A57" s="3">
        <v>42</v>
      </c>
      <c r="B57" s="373">
        <v>4</v>
      </c>
      <c r="C57" s="82" t="s">
        <v>91</v>
      </c>
      <c r="D57" s="363">
        <v>1</v>
      </c>
      <c r="E57" s="363" t="s">
        <v>271</v>
      </c>
      <c r="F57" s="80">
        <v>23420938</v>
      </c>
      <c r="G57" s="80">
        <f>Annexures!D172</f>
        <v>10513594</v>
      </c>
      <c r="H57" s="80">
        <f>Annexures!M172</f>
        <v>7021065</v>
      </c>
      <c r="I57" s="393">
        <f>Annexures!O172</f>
        <v>25000000</v>
      </c>
      <c r="J57" s="80">
        <f>Annexures!P172</f>
        <v>8906250</v>
      </c>
      <c r="K57" s="80">
        <f>Annexures!Q172</f>
        <v>16093750</v>
      </c>
      <c r="L57" s="83">
        <v>13232</v>
      </c>
      <c r="M57" s="84">
        <v>2381.7600000000002</v>
      </c>
      <c r="N57" s="84">
        <v>0</v>
      </c>
      <c r="O57" s="81">
        <f t="shared" si="5"/>
        <v>15613.76</v>
      </c>
      <c r="P57" s="55" t="s">
        <v>19</v>
      </c>
      <c r="Q57" s="52" t="s">
        <v>88</v>
      </c>
      <c r="R57" s="281">
        <v>2500000</v>
      </c>
      <c r="S57" s="23" t="s">
        <v>447</v>
      </c>
      <c r="T57" s="301"/>
    </row>
    <row r="58" spans="1:20" ht="31" x14ac:dyDescent="0.35">
      <c r="A58" s="3">
        <v>43</v>
      </c>
      <c r="B58" s="373">
        <v>5</v>
      </c>
      <c r="C58" s="82" t="s">
        <v>92</v>
      </c>
      <c r="D58" s="363">
        <v>2</v>
      </c>
      <c r="E58" s="363" t="s">
        <v>271</v>
      </c>
      <c r="F58" s="80">
        <v>1792124</v>
      </c>
      <c r="G58" s="80">
        <f>Annexures!D177</f>
        <v>807562</v>
      </c>
      <c r="H58" s="80">
        <f>Annexures!M177</f>
        <v>563910</v>
      </c>
      <c r="I58" s="393">
        <f>Annexures!O177</f>
        <v>1800000</v>
      </c>
      <c r="J58" s="80">
        <f>Annexures!P177</f>
        <v>641250</v>
      </c>
      <c r="K58" s="80">
        <f>Annexures!Q177</f>
        <v>1158750</v>
      </c>
      <c r="L58" s="83">
        <v>2180</v>
      </c>
      <c r="M58" s="84">
        <v>392.4</v>
      </c>
      <c r="N58" s="84">
        <v>0</v>
      </c>
      <c r="O58" s="81">
        <f t="shared" si="5"/>
        <v>2572.4</v>
      </c>
      <c r="P58" s="55" t="s">
        <v>10</v>
      </c>
      <c r="Q58" s="368" t="s">
        <v>88</v>
      </c>
      <c r="R58" s="281">
        <v>500000</v>
      </c>
      <c r="S58" s="23" t="s">
        <v>448</v>
      </c>
      <c r="T58" s="301"/>
    </row>
    <row r="59" spans="1:20" ht="31" x14ac:dyDescent="0.35">
      <c r="A59" s="3">
        <v>44</v>
      </c>
      <c r="B59" s="373">
        <v>6</v>
      </c>
      <c r="C59" s="82" t="s">
        <v>93</v>
      </c>
      <c r="D59" s="363">
        <v>1</v>
      </c>
      <c r="E59" s="363" t="s">
        <v>271</v>
      </c>
      <c r="F59" s="80">
        <v>1525078</v>
      </c>
      <c r="G59" s="80">
        <f>687227</f>
        <v>687227</v>
      </c>
      <c r="H59" s="80">
        <v>479883</v>
      </c>
      <c r="I59" s="393">
        <f>Annexures!O180</f>
        <v>1800000</v>
      </c>
      <c r="J59" s="80">
        <f>Annexures!P180</f>
        <v>641250</v>
      </c>
      <c r="K59" s="80">
        <f>Annexures!Q180</f>
        <v>1158750</v>
      </c>
      <c r="L59" s="83">
        <v>2013</v>
      </c>
      <c r="M59" s="84">
        <v>362.34</v>
      </c>
      <c r="N59" s="83">
        <v>0</v>
      </c>
      <c r="O59" s="81">
        <f t="shared" si="5"/>
        <v>2375.34</v>
      </c>
      <c r="P59" s="55" t="s">
        <v>10</v>
      </c>
      <c r="Q59" s="368" t="s">
        <v>88</v>
      </c>
      <c r="R59" s="224">
        <v>0</v>
      </c>
      <c r="S59" s="23" t="s">
        <v>448</v>
      </c>
      <c r="T59" s="301"/>
    </row>
    <row r="60" spans="1:20" ht="31" x14ac:dyDescent="0.35">
      <c r="A60" s="3">
        <v>45</v>
      </c>
      <c r="B60" s="373">
        <v>7</v>
      </c>
      <c r="C60" s="82" t="s">
        <v>94</v>
      </c>
      <c r="D60" s="363"/>
      <c r="E60" s="363" t="s">
        <v>268</v>
      </c>
      <c r="F60" s="80">
        <v>176200000</v>
      </c>
      <c r="G60" s="80">
        <f>Annexures!D183</f>
        <v>183546150.33000001</v>
      </c>
      <c r="H60" s="80">
        <f>Annexures!M183</f>
        <v>89889354.329999998</v>
      </c>
      <c r="I60" s="393">
        <f>Annexures!O183</f>
        <v>183546150</v>
      </c>
      <c r="J60" s="80">
        <f>Annexures!P183</f>
        <v>76722290.700000003</v>
      </c>
      <c r="K60" s="80">
        <f>Annexures!Q183</f>
        <v>106823859.3</v>
      </c>
      <c r="L60" s="83">
        <v>81493</v>
      </c>
      <c r="M60" s="84">
        <f>L60*18/100</f>
        <v>14668.74</v>
      </c>
      <c r="N60" s="83">
        <v>0</v>
      </c>
      <c r="O60" s="81">
        <f t="shared" si="5"/>
        <v>96161.74</v>
      </c>
      <c r="P60" s="55" t="s">
        <v>19</v>
      </c>
      <c r="Q60" s="52" t="s">
        <v>18</v>
      </c>
      <c r="R60" s="281">
        <v>10000000</v>
      </c>
      <c r="S60" s="55" t="s">
        <v>449</v>
      </c>
      <c r="T60" s="301"/>
    </row>
    <row r="61" spans="1:20" ht="43.5" x14ac:dyDescent="0.35">
      <c r="A61" s="3">
        <v>46</v>
      </c>
      <c r="B61" s="373">
        <v>8</v>
      </c>
      <c r="C61" s="32" t="s">
        <v>96</v>
      </c>
      <c r="D61" s="79"/>
      <c r="E61" s="363" t="s">
        <v>268</v>
      </c>
      <c r="F61" s="80">
        <v>1750000</v>
      </c>
      <c r="G61" s="80">
        <f>Annexures!D189</f>
        <v>2731598</v>
      </c>
      <c r="H61" s="80">
        <f>Annexures!M189</f>
        <v>1725327</v>
      </c>
      <c r="I61" s="393">
        <f>Annexures!O189</f>
        <v>10000000</v>
      </c>
      <c r="J61" s="80">
        <f>Annexures!P189</f>
        <v>4750000</v>
      </c>
      <c r="K61" s="80">
        <f>Annexures!Q189</f>
        <v>5250000</v>
      </c>
      <c r="L61" s="83">
        <v>809</v>
      </c>
      <c r="M61" s="84">
        <f>L61*18/100</f>
        <v>145.62</v>
      </c>
      <c r="N61" s="83">
        <v>0</v>
      </c>
      <c r="O61" s="81">
        <f t="shared" si="5"/>
        <v>954.62</v>
      </c>
      <c r="P61" s="55" t="s">
        <v>19</v>
      </c>
      <c r="Q61" s="52" t="s">
        <v>18</v>
      </c>
      <c r="R61" s="281">
        <v>600000</v>
      </c>
      <c r="S61" s="23" t="s">
        <v>451</v>
      </c>
      <c r="T61" s="301"/>
    </row>
    <row r="62" spans="1:20" ht="43.5" x14ac:dyDescent="0.35">
      <c r="A62" s="55">
        <v>47</v>
      </c>
      <c r="B62" s="348">
        <v>10</v>
      </c>
      <c r="C62" s="347" t="s">
        <v>99</v>
      </c>
      <c r="D62" s="349"/>
      <c r="E62" s="349"/>
      <c r="F62" s="350">
        <v>40000000</v>
      </c>
      <c r="G62" s="80">
        <f>Annexures!D200</f>
        <v>6068816</v>
      </c>
      <c r="H62" s="80">
        <f>Annexures!M200</f>
        <v>32568951</v>
      </c>
      <c r="I62" s="393">
        <f>Annexures!O200</f>
        <v>68000000</v>
      </c>
      <c r="J62" s="80">
        <f>Annexures!P200</f>
        <v>19380000</v>
      </c>
      <c r="K62" s="80">
        <f>Annexures!Q200</f>
        <v>48620000</v>
      </c>
      <c r="L62" s="81">
        <v>18500</v>
      </c>
      <c r="M62" s="81">
        <f>L62*18/100</f>
        <v>3330</v>
      </c>
      <c r="N62" s="135">
        <v>0</v>
      </c>
      <c r="O62" s="81">
        <f t="shared" si="5"/>
        <v>21830</v>
      </c>
      <c r="P62" s="55" t="s">
        <v>19</v>
      </c>
      <c r="Q62" s="52" t="s">
        <v>18</v>
      </c>
      <c r="R62" s="281">
        <v>800000</v>
      </c>
      <c r="S62" s="23" t="s">
        <v>453</v>
      </c>
      <c r="T62" s="301"/>
    </row>
    <row r="63" spans="1:20" ht="72.5" x14ac:dyDescent="0.35">
      <c r="A63" s="55">
        <v>48</v>
      </c>
      <c r="B63" s="373">
        <v>11</v>
      </c>
      <c r="C63" s="32" t="s">
        <v>100</v>
      </c>
      <c r="D63" s="79"/>
      <c r="E63" s="79" t="s">
        <v>266</v>
      </c>
      <c r="F63" s="80">
        <v>12000000</v>
      </c>
      <c r="G63" s="80">
        <f>Annexures!D205</f>
        <v>20606536.079999998</v>
      </c>
      <c r="H63" s="80">
        <f>Annexures!M205</f>
        <v>11971068.08</v>
      </c>
      <c r="I63" s="393">
        <f>Annexures!O205</f>
        <v>30000000</v>
      </c>
      <c r="J63" s="80">
        <f>Annexures!P205</f>
        <v>11400000</v>
      </c>
      <c r="K63" s="80">
        <f>Annexures!Q205</f>
        <v>18600000</v>
      </c>
      <c r="L63" s="81">
        <v>5550</v>
      </c>
      <c r="M63" s="81">
        <f>L63*18/100</f>
        <v>999</v>
      </c>
      <c r="N63" s="135">
        <v>0</v>
      </c>
      <c r="O63" s="81">
        <f t="shared" si="5"/>
        <v>6549</v>
      </c>
      <c r="P63" s="55" t="s">
        <v>19</v>
      </c>
      <c r="Q63" s="52" t="s">
        <v>18</v>
      </c>
      <c r="R63" s="281">
        <v>5000000</v>
      </c>
      <c r="S63" s="23" t="s">
        <v>454</v>
      </c>
      <c r="T63" s="301"/>
    </row>
    <row r="64" spans="1:20" ht="72.5" x14ac:dyDescent="0.35">
      <c r="A64" s="55">
        <v>49</v>
      </c>
      <c r="B64" s="373">
        <v>12</v>
      </c>
      <c r="C64" s="32" t="s">
        <v>471</v>
      </c>
      <c r="D64" s="79"/>
      <c r="E64" s="79"/>
      <c r="F64" s="80">
        <v>2500000</v>
      </c>
      <c r="G64" s="80"/>
      <c r="H64" s="80"/>
      <c r="I64" s="80">
        <f>Annexures!O208</f>
        <v>1500000</v>
      </c>
      <c r="J64" s="80">
        <f>Annexures!P208</f>
        <v>570000</v>
      </c>
      <c r="K64" s="80">
        <f>Annexures!Q208</f>
        <v>930000</v>
      </c>
      <c r="L64" s="81">
        <v>1156</v>
      </c>
      <c r="M64" s="81">
        <f>L64*18/100</f>
        <v>208.08</v>
      </c>
      <c r="N64" s="135">
        <v>0</v>
      </c>
      <c r="O64" s="81">
        <f t="shared" si="5"/>
        <v>1364.08</v>
      </c>
      <c r="P64" s="55" t="s">
        <v>19</v>
      </c>
      <c r="Q64" s="52" t="s">
        <v>18</v>
      </c>
      <c r="R64" s="281">
        <v>500000</v>
      </c>
      <c r="S64" s="23" t="s">
        <v>455</v>
      </c>
      <c r="T64" s="301"/>
    </row>
    <row r="65" spans="1:20" s="440" customFormat="1" x14ac:dyDescent="0.35">
      <c r="A65" s="226"/>
      <c r="B65" s="142">
        <v>13</v>
      </c>
      <c r="C65" s="226" t="s">
        <v>102</v>
      </c>
      <c r="D65" s="435"/>
      <c r="E65" s="142"/>
      <c r="F65" s="144">
        <v>170000000</v>
      </c>
      <c r="G65" s="144">
        <v>139456732</v>
      </c>
      <c r="H65" s="436">
        <v>102643976</v>
      </c>
      <c r="I65" s="437">
        <v>180000000</v>
      </c>
      <c r="J65" s="436">
        <v>51300000</v>
      </c>
      <c r="K65" s="436">
        <v>128700000</v>
      </c>
      <c r="L65" s="436"/>
      <c r="M65" s="436"/>
      <c r="N65" s="436"/>
      <c r="O65" s="436"/>
      <c r="P65" s="226"/>
      <c r="Q65" s="78"/>
      <c r="R65" s="438">
        <v>50000000</v>
      </c>
      <c r="S65" s="226" t="s">
        <v>432</v>
      </c>
      <c r="T65" s="439"/>
    </row>
    <row r="66" spans="1:20" ht="43.5" x14ac:dyDescent="0.35">
      <c r="A66" s="55">
        <v>50</v>
      </c>
      <c r="B66" s="373">
        <v>13</v>
      </c>
      <c r="C66" s="315" t="s">
        <v>456</v>
      </c>
      <c r="D66" s="287"/>
      <c r="E66" s="287"/>
      <c r="F66" s="273"/>
      <c r="G66" s="273">
        <v>9800000</v>
      </c>
      <c r="H66" s="273"/>
      <c r="I66" s="361">
        <v>9800000</v>
      </c>
      <c r="J66" s="361">
        <v>570000</v>
      </c>
      <c r="K66" s="361">
        <v>9489667</v>
      </c>
      <c r="L66" s="273"/>
      <c r="M66" s="273"/>
      <c r="N66" s="273"/>
      <c r="O66" s="289"/>
      <c r="P66" s="98"/>
      <c r="Q66" s="265"/>
      <c r="R66" s="316">
        <v>2500000</v>
      </c>
      <c r="S66" s="286" t="s">
        <v>457</v>
      </c>
    </row>
    <row r="67" spans="1:20" ht="43.5" x14ac:dyDescent="0.35">
      <c r="B67" s="373">
        <v>14</v>
      </c>
      <c r="C67" s="314" t="s">
        <v>458</v>
      </c>
      <c r="D67" s="377"/>
      <c r="E67" s="377"/>
      <c r="F67" s="58"/>
      <c r="G67" s="58">
        <v>5875000</v>
      </c>
      <c r="H67" s="58"/>
      <c r="I67" s="137">
        <v>7500000</v>
      </c>
      <c r="J67" s="137">
        <v>223250</v>
      </c>
      <c r="K67" s="137">
        <v>7262500</v>
      </c>
      <c r="L67" s="58"/>
      <c r="M67" s="58"/>
      <c r="N67" s="58"/>
      <c r="O67" s="57"/>
      <c r="P67" s="55"/>
      <c r="Q67" s="33"/>
      <c r="R67" s="281">
        <v>1500000</v>
      </c>
      <c r="S67" s="302" t="s">
        <v>459</v>
      </c>
    </row>
    <row r="68" spans="1:20" ht="87" x14ac:dyDescent="0.35">
      <c r="A68" s="55">
        <v>51</v>
      </c>
      <c r="B68" s="373">
        <v>15</v>
      </c>
      <c r="C68" s="314" t="s">
        <v>460</v>
      </c>
      <c r="D68" s="373"/>
      <c r="E68" s="373"/>
      <c r="F68" s="58"/>
      <c r="G68" s="58">
        <v>24600000</v>
      </c>
      <c r="H68" s="58"/>
      <c r="I68" s="137">
        <v>24600000</v>
      </c>
      <c r="J68" s="137">
        <f>I68-K68</f>
        <v>779000</v>
      </c>
      <c r="K68" s="137">
        <v>23821000</v>
      </c>
      <c r="L68" s="58"/>
      <c r="M68" s="58"/>
      <c r="N68" s="58"/>
      <c r="O68" s="57"/>
      <c r="P68" s="55"/>
      <c r="Q68" s="33"/>
      <c r="R68" s="281">
        <v>2500000</v>
      </c>
      <c r="S68" s="302" t="s">
        <v>461</v>
      </c>
    </row>
    <row r="69" spans="1:20" ht="43.5" x14ac:dyDescent="0.35">
      <c r="A69" s="55">
        <v>52</v>
      </c>
      <c r="B69" s="373">
        <v>16</v>
      </c>
      <c r="C69" s="82" t="s">
        <v>462</v>
      </c>
      <c r="D69" s="373"/>
      <c r="E69" s="373"/>
      <c r="F69" s="58"/>
      <c r="G69" s="58">
        <v>2800000</v>
      </c>
      <c r="H69" s="58"/>
      <c r="I69" s="137">
        <v>2800000</v>
      </c>
      <c r="J69" s="58">
        <v>177333</v>
      </c>
      <c r="K69" s="140">
        <v>2622667</v>
      </c>
      <c r="L69" s="58"/>
      <c r="M69" s="58"/>
      <c r="N69" s="58"/>
      <c r="O69" s="57"/>
      <c r="P69" s="55"/>
      <c r="Q69" s="33"/>
      <c r="R69" s="281">
        <v>750000</v>
      </c>
      <c r="S69" s="23" t="s">
        <v>463</v>
      </c>
    </row>
    <row r="70" spans="1:20" ht="15.5" x14ac:dyDescent="0.35">
      <c r="A70" s="98">
        <v>53</v>
      </c>
      <c r="B70" s="373"/>
      <c r="C70" s="317" t="s">
        <v>474</v>
      </c>
      <c r="D70" s="373"/>
      <c r="E70" s="373"/>
      <c r="F70" s="58">
        <f>F54+F55+F56+F57+F58+F59+F60+F61+F62+F63+F64+F66+F67+F68+F69</f>
        <v>421188140</v>
      </c>
      <c r="G70" s="58">
        <f>G54+G55+G56+G57+G58+G59+G60+G61+G62+G63+G64+G66+G67+G68+G69</f>
        <v>387047281.87</v>
      </c>
      <c r="H70" s="58">
        <f t="shared" ref="H70:Q70" si="7">H54+H55+H56+H57+H58+H59+H60+H61+H62+H63+H64+H66+H67+H68+H69</f>
        <v>183314332.08000001</v>
      </c>
      <c r="I70" s="58">
        <f>I54+I55+I56+I57+I58+I59+I60+I61+I62+I63+I64+I65+I66+I67+I68+I69</f>
        <v>776346150</v>
      </c>
      <c r="J70" s="58">
        <f t="shared" si="7"/>
        <v>285073123.69999999</v>
      </c>
      <c r="K70" s="58">
        <f>K54+K55+K56+K57+K58+K59+K60+K61+K62+K63+K64+K65+K66+K67+K68+K69</f>
        <v>440218443.30000001</v>
      </c>
      <c r="L70" s="58">
        <f t="shared" si="7"/>
        <v>206531</v>
      </c>
      <c r="M70" s="58">
        <f t="shared" si="7"/>
        <v>37175.58</v>
      </c>
      <c r="N70" s="58">
        <f t="shared" si="7"/>
        <v>0</v>
      </c>
      <c r="O70" s="58">
        <f t="shared" si="7"/>
        <v>243706.58</v>
      </c>
      <c r="P70" s="58" t="e">
        <f t="shared" si="7"/>
        <v>#VALUE!</v>
      </c>
      <c r="Q70" s="58" t="e">
        <f t="shared" si="7"/>
        <v>#VALUE!</v>
      </c>
      <c r="R70" s="58">
        <f>R54+R55+R56+R57+R58+R59+R60+R61+R62+R63+R64+R65+R66+R67+R68+R69</f>
        <v>84243750</v>
      </c>
      <c r="S70" s="23"/>
    </row>
    <row r="71" spans="1:20" ht="15.5" x14ac:dyDescent="0.35">
      <c r="A71" s="98"/>
      <c r="B71" s="373"/>
      <c r="C71" s="317"/>
      <c r="D71" s="373"/>
      <c r="E71" s="373"/>
      <c r="F71" s="58"/>
      <c r="G71" s="58"/>
      <c r="H71" s="58"/>
      <c r="I71" s="58"/>
      <c r="J71" s="58"/>
      <c r="K71" s="55"/>
      <c r="L71" s="58"/>
      <c r="M71" s="58"/>
      <c r="N71" s="58"/>
      <c r="O71" s="57"/>
      <c r="P71" s="55"/>
      <c r="Q71" s="33"/>
      <c r="R71" s="281"/>
      <c r="S71" s="23"/>
    </row>
    <row r="72" spans="1:20" ht="19.5" x14ac:dyDescent="0.35">
      <c r="C72" s="133" t="s">
        <v>104</v>
      </c>
      <c r="D72" s="79"/>
      <c r="E72" s="79"/>
      <c r="F72" s="80"/>
      <c r="G72" s="80"/>
      <c r="H72" s="80"/>
      <c r="I72" s="80"/>
      <c r="J72" s="80"/>
      <c r="K72" s="80"/>
      <c r="L72" s="53"/>
      <c r="M72" s="53"/>
      <c r="N72" s="53"/>
      <c r="O72" s="81"/>
      <c r="P72" s="55"/>
      <c r="Q72" s="52"/>
      <c r="R72" s="52"/>
      <c r="S72" s="52"/>
      <c r="T72" s="301"/>
    </row>
    <row r="73" spans="1:20" ht="15.5" x14ac:dyDescent="0.35">
      <c r="B73" s="132" t="s">
        <v>105</v>
      </c>
      <c r="C73" s="32"/>
      <c r="D73" s="79"/>
      <c r="E73" s="79"/>
      <c r="F73" s="80"/>
      <c r="G73" s="80"/>
      <c r="H73" s="80"/>
      <c r="I73" s="80"/>
      <c r="J73" s="80"/>
      <c r="K73" s="80"/>
      <c r="L73" s="53"/>
      <c r="M73" s="53"/>
      <c r="N73" s="53"/>
      <c r="O73" s="81"/>
      <c r="P73" s="55"/>
      <c r="Q73" s="52"/>
      <c r="R73" s="52"/>
      <c r="S73" s="52"/>
      <c r="T73" s="301"/>
    </row>
    <row r="74" spans="1:20" ht="29" x14ac:dyDescent="0.35">
      <c r="A74" s="55">
        <v>54</v>
      </c>
      <c r="B74" s="373">
        <v>1</v>
      </c>
      <c r="C74" s="82" t="s">
        <v>106</v>
      </c>
      <c r="D74" s="363">
        <v>3</v>
      </c>
      <c r="E74" s="363"/>
      <c r="F74" s="80">
        <f>977800+1955600</f>
        <v>2933400</v>
      </c>
      <c r="G74" s="80"/>
      <c r="H74" s="80"/>
      <c r="I74" s="80">
        <f>EDP!J7</f>
        <v>3840000</v>
      </c>
      <c r="J74" s="80">
        <f>EDP!K7</f>
        <v>3648000</v>
      </c>
      <c r="K74" s="80">
        <f>EDP!L7</f>
        <v>192000</v>
      </c>
      <c r="L74" s="81">
        <v>11147</v>
      </c>
      <c r="M74" s="81">
        <f t="shared" ref="M74:M86" si="8">L74*18%</f>
        <v>2006.46</v>
      </c>
      <c r="N74" s="135">
        <v>0</v>
      </c>
      <c r="O74" s="81">
        <f t="shared" si="5"/>
        <v>13153.46</v>
      </c>
      <c r="P74" s="55" t="s">
        <v>44</v>
      </c>
      <c r="Q74" s="368" t="s">
        <v>107</v>
      </c>
      <c r="R74" s="80">
        <f>I74*30%</f>
        <v>1152000</v>
      </c>
      <c r="S74" s="80" t="s">
        <v>465</v>
      </c>
      <c r="T74" s="80"/>
    </row>
    <row r="75" spans="1:20" ht="31" x14ac:dyDescent="0.35">
      <c r="A75" s="55">
        <v>55</v>
      </c>
      <c r="B75" s="373">
        <v>2</v>
      </c>
      <c r="C75" s="82" t="s">
        <v>108</v>
      </c>
      <c r="D75" s="363">
        <v>1</v>
      </c>
      <c r="E75" s="363"/>
      <c r="F75" s="80">
        <v>615000</v>
      </c>
      <c r="G75" s="80"/>
      <c r="H75" s="80"/>
      <c r="I75" s="80">
        <f>EDP!J8</f>
        <v>768000</v>
      </c>
      <c r="J75" s="80">
        <f>EDP!K8</f>
        <v>729600</v>
      </c>
      <c r="K75" s="80">
        <f>EDP!L8</f>
        <v>38400</v>
      </c>
      <c r="L75" s="81">
        <v>3075</v>
      </c>
      <c r="M75" s="81">
        <f t="shared" si="8"/>
        <v>553.5</v>
      </c>
      <c r="N75" s="81">
        <v>0</v>
      </c>
      <c r="O75" s="81">
        <f t="shared" si="5"/>
        <v>3628.5</v>
      </c>
      <c r="P75" s="55" t="s">
        <v>79</v>
      </c>
      <c r="Q75" s="368" t="s">
        <v>107</v>
      </c>
      <c r="R75" s="80">
        <f>I75*30%</f>
        <v>230400</v>
      </c>
      <c r="S75" s="80" t="s">
        <v>465</v>
      </c>
      <c r="T75" s="80"/>
    </row>
    <row r="76" spans="1:20" ht="29" x14ac:dyDescent="0.35">
      <c r="A76" s="55">
        <v>56</v>
      </c>
      <c r="B76" s="373">
        <v>3</v>
      </c>
      <c r="C76" s="82" t="s">
        <v>109</v>
      </c>
      <c r="D76" s="363">
        <v>1</v>
      </c>
      <c r="E76" s="363"/>
      <c r="F76" s="80">
        <v>626000</v>
      </c>
      <c r="G76" s="80"/>
      <c r="H76" s="80"/>
      <c r="I76" s="80">
        <f>EDP!J9</f>
        <v>768000</v>
      </c>
      <c r="J76" s="80">
        <f t="shared" ref="J76:J82" si="9">I76*0.95</f>
        <v>729600</v>
      </c>
      <c r="K76" s="80">
        <f>EDP!L9</f>
        <v>38400</v>
      </c>
      <c r="L76" s="81">
        <v>3130</v>
      </c>
      <c r="M76" s="81">
        <f t="shared" si="8"/>
        <v>563.4</v>
      </c>
      <c r="N76" s="81">
        <v>0</v>
      </c>
      <c r="O76" s="81">
        <f t="shared" si="5"/>
        <v>3693.4</v>
      </c>
      <c r="P76" s="55" t="s">
        <v>79</v>
      </c>
      <c r="Q76" s="368" t="s">
        <v>107</v>
      </c>
      <c r="R76" s="80">
        <f>I76*30%</f>
        <v>230400</v>
      </c>
      <c r="S76" s="80" t="s">
        <v>465</v>
      </c>
      <c r="T76" s="80"/>
    </row>
    <row r="77" spans="1:20" ht="29" x14ac:dyDescent="0.35">
      <c r="A77" s="55">
        <v>57</v>
      </c>
      <c r="B77" s="373">
        <v>4</v>
      </c>
      <c r="C77" s="82" t="s">
        <v>110</v>
      </c>
      <c r="D77" s="363">
        <v>1</v>
      </c>
      <c r="E77" s="363"/>
      <c r="F77" s="80">
        <v>1080542</v>
      </c>
      <c r="G77" s="80"/>
      <c r="H77" s="80"/>
      <c r="I77" s="80">
        <f>EDP!J10</f>
        <v>1800000</v>
      </c>
      <c r="J77" s="80">
        <f>EDP!K10</f>
        <v>1710000</v>
      </c>
      <c r="K77" s="80">
        <f>EDP!L10</f>
        <v>90000</v>
      </c>
      <c r="L77" s="81">
        <v>5403</v>
      </c>
      <c r="M77" s="81">
        <f t="shared" si="8"/>
        <v>972.54</v>
      </c>
      <c r="N77" s="81">
        <v>0</v>
      </c>
      <c r="O77" s="81">
        <f t="shared" si="5"/>
        <v>6375.54</v>
      </c>
      <c r="P77" s="55" t="s">
        <v>79</v>
      </c>
      <c r="Q77" s="368" t="s">
        <v>107</v>
      </c>
      <c r="R77" s="80">
        <f>I77*30%</f>
        <v>540000</v>
      </c>
      <c r="S77" s="80" t="s">
        <v>465</v>
      </c>
      <c r="T77" s="80"/>
    </row>
    <row r="78" spans="1:20" ht="29" x14ac:dyDescent="0.35">
      <c r="A78" s="55">
        <v>58</v>
      </c>
      <c r="B78" s="373">
        <v>5</v>
      </c>
      <c r="C78" s="82" t="s">
        <v>111</v>
      </c>
      <c r="D78" s="363">
        <v>4</v>
      </c>
      <c r="E78" s="363"/>
      <c r="F78" s="80">
        <f>930000+2790000</f>
        <v>3720000</v>
      </c>
      <c r="G78" s="80"/>
      <c r="H78" s="80"/>
      <c r="I78" s="80">
        <f>EDP!J11</f>
        <v>5400000</v>
      </c>
      <c r="J78" s="80">
        <f t="shared" si="9"/>
        <v>5130000</v>
      </c>
      <c r="K78" s="80">
        <f>EDP!L11</f>
        <v>270000</v>
      </c>
      <c r="L78" s="81">
        <v>10602</v>
      </c>
      <c r="M78" s="81">
        <f t="shared" si="8"/>
        <v>1908.36</v>
      </c>
      <c r="N78" s="135">
        <v>0</v>
      </c>
      <c r="O78" s="81">
        <f t="shared" si="5"/>
        <v>12510.36</v>
      </c>
      <c r="P78" s="55" t="s">
        <v>44</v>
      </c>
      <c r="Q78" s="368" t="s">
        <v>107</v>
      </c>
      <c r="R78" s="80">
        <f>K78*30%</f>
        <v>81000</v>
      </c>
      <c r="S78" s="80" t="s">
        <v>465</v>
      </c>
      <c r="T78" s="80"/>
    </row>
    <row r="79" spans="1:20" ht="31" x14ac:dyDescent="0.35">
      <c r="A79" s="55">
        <v>59</v>
      </c>
      <c r="B79" s="373">
        <v>6</v>
      </c>
      <c r="C79" s="82" t="s">
        <v>112</v>
      </c>
      <c r="D79" s="363">
        <v>1</v>
      </c>
      <c r="E79" s="363"/>
      <c r="F79" s="80">
        <v>1862000</v>
      </c>
      <c r="G79" s="80"/>
      <c r="H79" s="80"/>
      <c r="I79" s="80">
        <f>EDP!J12</f>
        <v>2380000</v>
      </c>
      <c r="J79" s="80">
        <f>EDP!K12</f>
        <v>2261000</v>
      </c>
      <c r="K79" s="80">
        <f>EDP!L12</f>
        <v>119000</v>
      </c>
      <c r="L79" s="81">
        <v>9310</v>
      </c>
      <c r="M79" s="81">
        <f t="shared" si="8"/>
        <v>1675.8</v>
      </c>
      <c r="N79" s="81">
        <v>0</v>
      </c>
      <c r="O79" s="81">
        <f t="shared" si="5"/>
        <v>10985.8</v>
      </c>
      <c r="P79" s="55" t="s">
        <v>79</v>
      </c>
      <c r="Q79" s="368" t="s">
        <v>107</v>
      </c>
      <c r="R79" s="80">
        <f>K79*30%</f>
        <v>35700</v>
      </c>
      <c r="S79" s="80" t="s">
        <v>465</v>
      </c>
      <c r="T79" s="80"/>
    </row>
    <row r="80" spans="1:20" ht="29" x14ac:dyDescent="0.35">
      <c r="A80" s="55">
        <v>60</v>
      </c>
      <c r="B80" s="373">
        <v>7</v>
      </c>
      <c r="C80" s="32" t="s">
        <v>113</v>
      </c>
      <c r="D80" s="79">
        <v>1</v>
      </c>
      <c r="E80" s="79"/>
      <c r="F80" s="80">
        <v>652000</v>
      </c>
      <c r="G80" s="80"/>
      <c r="H80" s="80"/>
      <c r="I80" s="80">
        <f>EDP!J13</f>
        <v>840000</v>
      </c>
      <c r="J80" s="80">
        <f>EDP!K13</f>
        <v>798000</v>
      </c>
      <c r="K80" s="80">
        <f>EDP!L13</f>
        <v>42000</v>
      </c>
      <c r="L80" s="81">
        <v>3260</v>
      </c>
      <c r="M80" s="81">
        <f t="shared" si="8"/>
        <v>586.79999999999995</v>
      </c>
      <c r="N80" s="81">
        <v>0</v>
      </c>
      <c r="O80" s="81">
        <f t="shared" si="5"/>
        <v>3846.8</v>
      </c>
      <c r="P80" s="55" t="s">
        <v>79</v>
      </c>
      <c r="Q80" s="368" t="s">
        <v>107</v>
      </c>
      <c r="R80" s="80">
        <f>K80*30%</f>
        <v>12600</v>
      </c>
      <c r="S80" s="80" t="s">
        <v>465</v>
      </c>
      <c r="T80" s="80"/>
    </row>
    <row r="81" spans="1:22" ht="29" x14ac:dyDescent="0.35">
      <c r="A81" s="55">
        <v>61</v>
      </c>
      <c r="B81" s="373">
        <v>8</v>
      </c>
      <c r="C81" s="365" t="s">
        <v>114</v>
      </c>
      <c r="D81" s="373">
        <v>2</v>
      </c>
      <c r="E81" s="373"/>
      <c r="F81" s="131">
        <v>255000</v>
      </c>
      <c r="G81" s="131"/>
      <c r="H81" s="131"/>
      <c r="I81" s="80">
        <f>EDP!J14</f>
        <v>350000</v>
      </c>
      <c r="J81" s="80">
        <f>EDP!K14</f>
        <v>332500</v>
      </c>
      <c r="K81" s="80">
        <f>EDP!L14</f>
        <v>17500</v>
      </c>
      <c r="L81" s="81">
        <v>1275</v>
      </c>
      <c r="M81" s="81">
        <f t="shared" si="8"/>
        <v>229.5</v>
      </c>
      <c r="N81" s="81">
        <v>0</v>
      </c>
      <c r="O81" s="81">
        <f t="shared" si="5"/>
        <v>1504.5</v>
      </c>
      <c r="P81" s="55" t="s">
        <v>79</v>
      </c>
      <c r="Q81" s="368" t="s">
        <v>107</v>
      </c>
      <c r="R81" s="80">
        <f>I81*30%</f>
        <v>105000</v>
      </c>
      <c r="S81" s="80" t="s">
        <v>465</v>
      </c>
      <c r="T81" s="80"/>
    </row>
    <row r="82" spans="1:22" ht="29" x14ac:dyDescent="0.35">
      <c r="A82" s="55">
        <v>62</v>
      </c>
      <c r="B82" s="373">
        <v>9</v>
      </c>
      <c r="C82" s="32" t="s">
        <v>115</v>
      </c>
      <c r="D82" s="79">
        <v>1</v>
      </c>
      <c r="E82" s="79"/>
      <c r="F82" s="80">
        <v>500000</v>
      </c>
      <c r="G82" s="80"/>
      <c r="H82" s="80"/>
      <c r="I82" s="80">
        <f>EDP!J15</f>
        <v>795000</v>
      </c>
      <c r="J82" s="80">
        <f t="shared" si="9"/>
        <v>755250</v>
      </c>
      <c r="K82" s="80">
        <f>EDP!L15</f>
        <v>190800</v>
      </c>
      <c r="L82" s="81">
        <v>2500</v>
      </c>
      <c r="M82" s="81">
        <f t="shared" si="8"/>
        <v>450</v>
      </c>
      <c r="N82" s="81">
        <v>0</v>
      </c>
      <c r="O82" s="81">
        <f t="shared" si="5"/>
        <v>2950</v>
      </c>
      <c r="P82" s="55" t="s">
        <v>79</v>
      </c>
      <c r="Q82" s="368" t="s">
        <v>107</v>
      </c>
      <c r="R82" s="80">
        <f t="shared" ref="R82:R91" si="10">I82*30%</f>
        <v>238500</v>
      </c>
      <c r="S82" s="80" t="s">
        <v>465</v>
      </c>
      <c r="T82" s="80"/>
    </row>
    <row r="83" spans="1:22" ht="29" x14ac:dyDescent="0.35">
      <c r="A83" s="55">
        <v>63</v>
      </c>
      <c r="B83" s="373">
        <v>10</v>
      </c>
      <c r="C83" s="32" t="s">
        <v>116</v>
      </c>
      <c r="D83" s="79">
        <v>1</v>
      </c>
      <c r="E83" s="79"/>
      <c r="F83" s="80">
        <v>175000</v>
      </c>
      <c r="G83" s="80"/>
      <c r="H83" s="80"/>
      <c r="I83" s="80">
        <f>EDP!J16</f>
        <v>250000</v>
      </c>
      <c r="J83" s="80">
        <f>EDP!K16</f>
        <v>237500</v>
      </c>
      <c r="K83" s="80">
        <f>I83-J83</f>
        <v>12500</v>
      </c>
      <c r="L83" s="81">
        <v>875</v>
      </c>
      <c r="M83" s="81">
        <f t="shared" si="8"/>
        <v>157.5</v>
      </c>
      <c r="N83" s="81">
        <v>0</v>
      </c>
      <c r="O83" s="81">
        <f t="shared" si="5"/>
        <v>1032.5</v>
      </c>
      <c r="P83" s="55" t="s">
        <v>79</v>
      </c>
      <c r="Q83" s="368" t="s">
        <v>107</v>
      </c>
      <c r="R83" s="80">
        <f t="shared" si="10"/>
        <v>75000</v>
      </c>
      <c r="S83" s="80" t="s">
        <v>465</v>
      </c>
      <c r="T83" s="80"/>
    </row>
    <row r="84" spans="1:22" ht="29" x14ac:dyDescent="0.35">
      <c r="A84" s="55">
        <v>64</v>
      </c>
      <c r="B84" s="373">
        <v>11</v>
      </c>
      <c r="C84" s="32" t="s">
        <v>117</v>
      </c>
      <c r="D84" s="79">
        <v>1</v>
      </c>
      <c r="E84" s="79"/>
      <c r="F84" s="80">
        <v>461000</v>
      </c>
      <c r="G84" s="80"/>
      <c r="H84" s="80"/>
      <c r="I84" s="80">
        <f>EDP!J17</f>
        <v>625000</v>
      </c>
      <c r="J84" s="80">
        <f>EDP!K17</f>
        <v>356250</v>
      </c>
      <c r="K84" s="80">
        <f>EDP!L17</f>
        <v>268750</v>
      </c>
      <c r="L84" s="81">
        <v>2305</v>
      </c>
      <c r="M84" s="81">
        <f t="shared" si="8"/>
        <v>414.9</v>
      </c>
      <c r="N84" s="81">
        <v>0</v>
      </c>
      <c r="O84" s="81">
        <f t="shared" si="5"/>
        <v>2719.9</v>
      </c>
      <c r="P84" s="55" t="s">
        <v>79</v>
      </c>
      <c r="Q84" s="368" t="s">
        <v>107</v>
      </c>
      <c r="R84" s="80">
        <f t="shared" si="10"/>
        <v>187500</v>
      </c>
      <c r="S84" s="80" t="s">
        <v>465</v>
      </c>
      <c r="T84" s="80"/>
    </row>
    <row r="85" spans="1:22" ht="29" x14ac:dyDescent="0.35">
      <c r="A85" s="55">
        <v>65</v>
      </c>
      <c r="B85" s="374">
        <v>12</v>
      </c>
      <c r="C85" s="32" t="s">
        <v>118</v>
      </c>
      <c r="D85" s="79">
        <v>1</v>
      </c>
      <c r="E85" s="79"/>
      <c r="F85" s="80">
        <v>1450000</v>
      </c>
      <c r="G85" s="80"/>
      <c r="H85" s="80"/>
      <c r="I85" s="80">
        <f>EDP!J18</f>
        <v>1500000</v>
      </c>
      <c r="J85" s="80">
        <f>EDP!K18</f>
        <v>1140000</v>
      </c>
      <c r="K85" s="80">
        <f>I85-J85</f>
        <v>360000</v>
      </c>
      <c r="L85" s="81">
        <v>7250</v>
      </c>
      <c r="M85" s="81">
        <f t="shared" si="8"/>
        <v>1305</v>
      </c>
      <c r="N85" s="81">
        <v>0</v>
      </c>
      <c r="O85" s="81">
        <f t="shared" si="5"/>
        <v>8555</v>
      </c>
      <c r="P85" s="55" t="s">
        <v>79</v>
      </c>
      <c r="Q85" s="368" t="s">
        <v>107</v>
      </c>
      <c r="R85" s="80">
        <f t="shared" si="10"/>
        <v>450000</v>
      </c>
      <c r="S85" s="80" t="s">
        <v>465</v>
      </c>
      <c r="T85" s="80"/>
      <c r="V85" s="80"/>
    </row>
    <row r="86" spans="1:22" ht="29" x14ac:dyDescent="0.35">
      <c r="A86" s="55">
        <v>66</v>
      </c>
      <c r="B86" s="373">
        <v>13</v>
      </c>
      <c r="C86" s="32" t="s">
        <v>119</v>
      </c>
      <c r="D86" s="79">
        <v>1</v>
      </c>
      <c r="E86" s="79"/>
      <c r="F86" s="80">
        <v>293810</v>
      </c>
      <c r="G86" s="80"/>
      <c r="H86" s="80"/>
      <c r="I86" s="80">
        <f>EDP!J19</f>
        <v>350000</v>
      </c>
      <c r="J86" s="80">
        <f>EDP!K19</f>
        <v>199500</v>
      </c>
      <c r="K86" s="80">
        <f>I86-J86</f>
        <v>150500</v>
      </c>
      <c r="L86" s="81">
        <v>1469</v>
      </c>
      <c r="M86" s="81">
        <f t="shared" si="8"/>
        <v>264.42</v>
      </c>
      <c r="N86" s="81">
        <v>0</v>
      </c>
      <c r="O86" s="81">
        <f t="shared" si="5"/>
        <v>1733.42</v>
      </c>
      <c r="P86" s="55" t="s">
        <v>79</v>
      </c>
      <c r="Q86" s="368" t="s">
        <v>107</v>
      </c>
      <c r="R86" s="80">
        <f t="shared" si="10"/>
        <v>105000</v>
      </c>
      <c r="S86" s="80" t="s">
        <v>465</v>
      </c>
      <c r="T86" s="80"/>
      <c r="V86" s="80"/>
    </row>
    <row r="87" spans="1:22" ht="29" x14ac:dyDescent="0.35">
      <c r="B87" s="318" t="s">
        <v>120</v>
      </c>
      <c r="C87" s="32"/>
      <c r="D87" s="79"/>
      <c r="E87" s="79"/>
      <c r="F87" s="80"/>
      <c r="G87" s="80"/>
      <c r="H87" s="80"/>
      <c r="I87" s="80">
        <v>350000</v>
      </c>
      <c r="J87" s="80">
        <f>EDP!K19</f>
        <v>199500</v>
      </c>
      <c r="K87" s="80">
        <f>EDP!L19</f>
        <v>150500</v>
      </c>
      <c r="L87" s="53"/>
      <c r="M87" s="53"/>
      <c r="N87" s="53"/>
      <c r="O87" s="81"/>
      <c r="P87" s="55"/>
      <c r="Q87" s="52"/>
      <c r="R87" s="80">
        <f t="shared" si="10"/>
        <v>105000</v>
      </c>
      <c r="S87" s="80" t="s">
        <v>465</v>
      </c>
      <c r="V87" s="80"/>
    </row>
    <row r="88" spans="1:22" ht="29" x14ac:dyDescent="0.35">
      <c r="A88" s="55">
        <v>67</v>
      </c>
      <c r="B88" s="373">
        <v>14</v>
      </c>
      <c r="C88" s="32" t="s">
        <v>121</v>
      </c>
      <c r="D88" s="79">
        <v>1</v>
      </c>
      <c r="E88" s="79"/>
      <c r="F88" s="80">
        <v>50000</v>
      </c>
      <c r="G88" s="80"/>
      <c r="H88" s="80"/>
      <c r="I88" s="80">
        <f>EDP!J21</f>
        <v>65000</v>
      </c>
      <c r="J88" s="80">
        <f>EDP!K21</f>
        <v>61750</v>
      </c>
      <c r="K88" s="80">
        <f>EDP!L21</f>
        <v>3250</v>
      </c>
      <c r="L88" s="81">
        <v>250</v>
      </c>
      <c r="M88" s="81">
        <f>L88*18%</f>
        <v>45</v>
      </c>
      <c r="N88" s="81">
        <v>0</v>
      </c>
      <c r="O88" s="81">
        <f t="shared" si="5"/>
        <v>295</v>
      </c>
      <c r="P88" s="55" t="s">
        <v>79</v>
      </c>
      <c r="Q88" s="368" t="s">
        <v>107</v>
      </c>
      <c r="R88" s="80">
        <f t="shared" si="10"/>
        <v>19500</v>
      </c>
      <c r="S88" s="80" t="s">
        <v>465</v>
      </c>
      <c r="T88" s="80"/>
      <c r="V88" s="80"/>
    </row>
    <row r="89" spans="1:22" ht="29" x14ac:dyDescent="0.35">
      <c r="A89" s="55">
        <v>68</v>
      </c>
      <c r="B89" s="373">
        <v>15</v>
      </c>
      <c r="C89" s="32" t="s">
        <v>122</v>
      </c>
      <c r="D89" s="79">
        <v>2</v>
      </c>
      <c r="E89" s="79"/>
      <c r="F89" s="80">
        <v>60000</v>
      </c>
      <c r="G89" s="80"/>
      <c r="H89" s="80"/>
      <c r="I89" s="80">
        <f>EDP!J22</f>
        <v>75000</v>
      </c>
      <c r="J89" s="80">
        <f>EDP!K22</f>
        <v>71250</v>
      </c>
      <c r="K89" s="80">
        <f>EDP!L22</f>
        <v>3750</v>
      </c>
      <c r="L89" s="81">
        <v>300</v>
      </c>
      <c r="M89" s="81">
        <f>L89*18%</f>
        <v>54</v>
      </c>
      <c r="N89" s="81">
        <v>0</v>
      </c>
      <c r="O89" s="81">
        <f t="shared" si="5"/>
        <v>354</v>
      </c>
      <c r="P89" s="55" t="s">
        <v>79</v>
      </c>
      <c r="Q89" s="368" t="s">
        <v>107</v>
      </c>
      <c r="R89" s="80">
        <f t="shared" si="10"/>
        <v>22500</v>
      </c>
      <c r="S89" s="80" t="s">
        <v>465</v>
      </c>
      <c r="T89" s="42"/>
      <c r="V89" s="80"/>
    </row>
    <row r="90" spans="1:22" ht="29" x14ac:dyDescent="0.35">
      <c r="A90" s="55">
        <v>69</v>
      </c>
      <c r="B90" s="373">
        <v>17</v>
      </c>
      <c r="C90" s="32" t="s">
        <v>124</v>
      </c>
      <c r="D90" s="79">
        <v>2</v>
      </c>
      <c r="E90" s="79"/>
      <c r="F90" s="80">
        <v>587000</v>
      </c>
      <c r="G90" s="80"/>
      <c r="H90" s="80"/>
      <c r="I90" s="80">
        <f>EDP!J24</f>
        <v>850000</v>
      </c>
      <c r="J90" s="80">
        <f>EDP!K24</f>
        <v>807500</v>
      </c>
      <c r="K90" s="80">
        <f>EDP!L24</f>
        <v>42500</v>
      </c>
      <c r="L90" s="81">
        <v>2935</v>
      </c>
      <c r="M90" s="81">
        <f>L90*18%</f>
        <v>528.29999999999995</v>
      </c>
      <c r="N90" s="81">
        <v>0</v>
      </c>
      <c r="O90" s="81">
        <f t="shared" si="5"/>
        <v>3463.3</v>
      </c>
      <c r="P90" s="55" t="s">
        <v>79</v>
      </c>
      <c r="Q90" s="368" t="s">
        <v>107</v>
      </c>
      <c r="R90" s="80">
        <f t="shared" si="10"/>
        <v>255000</v>
      </c>
      <c r="S90" s="80" t="s">
        <v>465</v>
      </c>
      <c r="T90" s="42"/>
    </row>
    <row r="91" spans="1:22" ht="29" x14ac:dyDescent="0.35">
      <c r="A91" s="55">
        <v>70</v>
      </c>
      <c r="B91" s="373">
        <v>20</v>
      </c>
      <c r="C91" s="32" t="s">
        <v>127</v>
      </c>
      <c r="D91" s="79">
        <v>4</v>
      </c>
      <c r="E91" s="79"/>
      <c r="F91" s="80">
        <v>3339000</v>
      </c>
      <c r="G91" s="80"/>
      <c r="H91" s="80"/>
      <c r="I91" s="80">
        <f>EDP!J27</f>
        <v>5000000</v>
      </c>
      <c r="J91" s="80">
        <f>EDP!K27</f>
        <v>4750000</v>
      </c>
      <c r="K91" s="80">
        <f>EDP!L27</f>
        <v>250000</v>
      </c>
      <c r="L91" s="81">
        <v>16695</v>
      </c>
      <c r="M91" s="81">
        <f>L91*18%</f>
        <v>3005.1</v>
      </c>
      <c r="N91" s="81">
        <v>0</v>
      </c>
      <c r="O91" s="81">
        <f t="shared" si="5"/>
        <v>19700.099999999999</v>
      </c>
      <c r="P91" s="55" t="s">
        <v>79</v>
      </c>
      <c r="Q91" s="368" t="s">
        <v>107</v>
      </c>
      <c r="R91" s="80">
        <f t="shared" si="10"/>
        <v>1500000</v>
      </c>
      <c r="S91" s="80" t="s">
        <v>465</v>
      </c>
      <c r="T91" s="42"/>
    </row>
    <row r="92" spans="1:22" ht="15.5" x14ac:dyDescent="0.35">
      <c r="B92" s="132" t="s">
        <v>129</v>
      </c>
      <c r="C92" s="33"/>
      <c r="D92" s="79"/>
      <c r="E92" s="79"/>
      <c r="F92" s="80"/>
      <c r="G92" s="80"/>
      <c r="H92" s="80"/>
      <c r="I92" s="80"/>
      <c r="J92" s="80"/>
      <c r="K92" s="80"/>
      <c r="L92" s="53"/>
      <c r="M92" s="53"/>
      <c r="N92" s="53"/>
      <c r="O92" s="81"/>
      <c r="P92" s="55"/>
      <c r="Q92" s="52"/>
      <c r="R92" s="52"/>
      <c r="S92" s="263"/>
      <c r="T92" s="42"/>
    </row>
    <row r="93" spans="1:22" ht="15.5" x14ac:dyDescent="0.35">
      <c r="A93" s="55">
        <v>71</v>
      </c>
      <c r="B93" s="373">
        <v>22</v>
      </c>
      <c r="C93" s="32" t="s">
        <v>130</v>
      </c>
      <c r="D93" s="79">
        <v>33</v>
      </c>
      <c r="E93" s="79"/>
      <c r="F93" s="80">
        <f>1178000+76000</f>
        <v>1254000</v>
      </c>
      <c r="G93" s="629">
        <f>Annexures!D232</f>
        <v>7803281.54</v>
      </c>
      <c r="H93" s="629">
        <f>Annexures!M232</f>
        <v>5213565.1900000004</v>
      </c>
      <c r="I93" s="629">
        <f>EDP!J30</f>
        <v>2000000</v>
      </c>
      <c r="J93" s="629">
        <f>EDP!K30</f>
        <v>1520000</v>
      </c>
      <c r="K93" s="629">
        <f>EDP!L30</f>
        <v>480000</v>
      </c>
      <c r="L93" s="81">
        <v>6270</v>
      </c>
      <c r="M93" s="81">
        <f>L93*18%</f>
        <v>1128.5999999999999</v>
      </c>
      <c r="N93" s="81">
        <v>0</v>
      </c>
      <c r="O93" s="81">
        <f t="shared" si="5"/>
        <v>7398.6</v>
      </c>
      <c r="P93" s="55" t="s">
        <v>79</v>
      </c>
      <c r="Q93" s="368" t="s">
        <v>107</v>
      </c>
      <c r="R93" s="632">
        <f>I93*30%</f>
        <v>600000</v>
      </c>
      <c r="S93" s="629" t="s">
        <v>465</v>
      </c>
      <c r="T93" s="42"/>
    </row>
    <row r="94" spans="1:22" ht="29" x14ac:dyDescent="0.35">
      <c r="A94" s="55">
        <v>72</v>
      </c>
      <c r="B94" s="373">
        <v>23</v>
      </c>
      <c r="C94" s="32" t="s">
        <v>131</v>
      </c>
      <c r="D94" s="79">
        <v>8</v>
      </c>
      <c r="E94" s="79"/>
      <c r="F94" s="80">
        <f>246000+82000</f>
        <v>328000</v>
      </c>
      <c r="G94" s="630"/>
      <c r="H94" s="630"/>
      <c r="I94" s="630"/>
      <c r="J94" s="630"/>
      <c r="K94" s="630"/>
      <c r="L94" s="81">
        <v>1640</v>
      </c>
      <c r="M94" s="81">
        <f>L94*18%</f>
        <v>295.2</v>
      </c>
      <c r="N94" s="81">
        <v>0</v>
      </c>
      <c r="O94" s="81">
        <f t="shared" si="5"/>
        <v>1935.2</v>
      </c>
      <c r="P94" s="55" t="s">
        <v>79</v>
      </c>
      <c r="Q94" s="368" t="s">
        <v>107</v>
      </c>
      <c r="R94" s="632"/>
      <c r="S94" s="630"/>
      <c r="T94" s="42"/>
    </row>
    <row r="95" spans="1:22" ht="29" x14ac:dyDescent="0.35">
      <c r="A95" s="55">
        <v>73</v>
      </c>
      <c r="B95" s="373">
        <v>24</v>
      </c>
      <c r="C95" s="33" t="s">
        <v>132</v>
      </c>
      <c r="D95" s="79">
        <v>1</v>
      </c>
      <c r="E95" s="79"/>
      <c r="F95" s="80">
        <v>30000</v>
      </c>
      <c r="G95" s="631"/>
      <c r="H95" s="631"/>
      <c r="I95" s="631"/>
      <c r="J95" s="631"/>
      <c r="K95" s="631"/>
      <c r="L95" s="81">
        <v>150</v>
      </c>
      <c r="M95" s="81">
        <f>L95*18%</f>
        <v>27</v>
      </c>
      <c r="N95" s="81">
        <v>0</v>
      </c>
      <c r="O95" s="81">
        <f t="shared" si="5"/>
        <v>177</v>
      </c>
      <c r="P95" s="55" t="s">
        <v>79</v>
      </c>
      <c r="Q95" s="368" t="s">
        <v>107</v>
      </c>
      <c r="R95" s="632"/>
      <c r="S95" s="631"/>
      <c r="T95" s="42"/>
    </row>
    <row r="96" spans="1:22" ht="15.5" x14ac:dyDescent="0.35">
      <c r="A96" s="55"/>
      <c r="B96" s="132" t="s">
        <v>133</v>
      </c>
      <c r="C96" s="33"/>
      <c r="D96" s="79"/>
      <c r="E96" s="79"/>
      <c r="F96" s="80"/>
      <c r="G96" s="80"/>
      <c r="H96" s="80"/>
      <c r="I96" s="80"/>
      <c r="J96" s="80"/>
      <c r="K96" s="80"/>
      <c r="L96" s="53"/>
      <c r="M96" s="53"/>
      <c r="N96" s="53"/>
      <c r="O96" s="81"/>
      <c r="P96" s="55"/>
      <c r="Q96" s="52"/>
      <c r="R96" s="52"/>
      <c r="S96" s="263"/>
      <c r="T96" s="42"/>
    </row>
    <row r="97" spans="1:20" ht="29" x14ac:dyDescent="0.35">
      <c r="A97" s="55">
        <v>74</v>
      </c>
      <c r="B97" s="373">
        <v>25</v>
      </c>
      <c r="C97" s="365" t="s">
        <v>134</v>
      </c>
      <c r="D97" s="373">
        <v>1</v>
      </c>
      <c r="E97" s="373"/>
      <c r="F97" s="131">
        <v>527000</v>
      </c>
      <c r="G97" s="131"/>
      <c r="H97" s="131"/>
      <c r="I97" s="131">
        <f>EDP!J34</f>
        <v>800000</v>
      </c>
      <c r="J97" s="131">
        <f>EDP!K34</f>
        <v>608000</v>
      </c>
      <c r="K97" s="131">
        <f>EDP!L34</f>
        <v>192000</v>
      </c>
      <c r="L97" s="81">
        <v>2635</v>
      </c>
      <c r="M97" s="81">
        <f>L97*18%</f>
        <v>474.29999999999995</v>
      </c>
      <c r="N97" s="81"/>
      <c r="O97" s="81">
        <f t="shared" si="5"/>
        <v>3109.3</v>
      </c>
      <c r="P97" s="55" t="s">
        <v>79</v>
      </c>
      <c r="Q97" s="368" t="s">
        <v>107</v>
      </c>
      <c r="R97" s="405">
        <f>I97*30%</f>
        <v>240000</v>
      </c>
      <c r="S97" s="407" t="s">
        <v>465</v>
      </c>
      <c r="T97" s="42"/>
    </row>
    <row r="98" spans="1:20" ht="15.5" x14ac:dyDescent="0.35">
      <c r="B98" s="132" t="s">
        <v>135</v>
      </c>
      <c r="C98" s="365"/>
      <c r="D98" s="373"/>
      <c r="E98" s="373"/>
      <c r="F98" s="131"/>
      <c r="G98" s="131"/>
      <c r="H98" s="131"/>
      <c r="I98" s="131"/>
      <c r="J98" s="131"/>
      <c r="K98" s="131"/>
      <c r="L98" s="53"/>
      <c r="M98" s="53"/>
      <c r="N98" s="53"/>
      <c r="O98" s="81"/>
      <c r="P98" s="55"/>
      <c r="Q98" s="52"/>
      <c r="R98" s="405"/>
      <c r="S98" s="263"/>
      <c r="T98" s="42"/>
    </row>
    <row r="99" spans="1:20" ht="29" x14ac:dyDescent="0.35">
      <c r="A99" s="55">
        <v>75</v>
      </c>
      <c r="B99" s="373">
        <v>26</v>
      </c>
      <c r="C99" s="32" t="s">
        <v>136</v>
      </c>
      <c r="D99" s="79">
        <v>2</v>
      </c>
      <c r="E99" s="79"/>
      <c r="F99" s="80">
        <v>95000</v>
      </c>
      <c r="G99" s="80"/>
      <c r="H99" s="80"/>
      <c r="I99" s="80">
        <f>EDP!J36</f>
        <v>108000</v>
      </c>
      <c r="J99" s="80">
        <f>EDP!K36</f>
        <v>102600</v>
      </c>
      <c r="K99" s="80">
        <f>EDP!L36</f>
        <v>5400</v>
      </c>
      <c r="L99" s="81">
        <v>475</v>
      </c>
      <c r="M99" s="81">
        <f>L99*18%</f>
        <v>85.5</v>
      </c>
      <c r="N99" s="81">
        <v>0</v>
      </c>
      <c r="O99" s="81">
        <f t="shared" si="5"/>
        <v>560.5</v>
      </c>
      <c r="P99" s="55" t="s">
        <v>79</v>
      </c>
      <c r="Q99" s="368" t="s">
        <v>107</v>
      </c>
      <c r="R99" s="405">
        <f t="shared" ref="R99:R108" si="11">I99*30%</f>
        <v>32400</v>
      </c>
      <c r="S99" s="407" t="s">
        <v>465</v>
      </c>
      <c r="T99" s="42"/>
    </row>
    <row r="100" spans="1:20" ht="29" x14ac:dyDescent="0.35">
      <c r="A100" s="55">
        <v>76</v>
      </c>
      <c r="B100" s="373">
        <v>27</v>
      </c>
      <c r="C100" s="32" t="s">
        <v>137</v>
      </c>
      <c r="D100" s="79">
        <v>3</v>
      </c>
      <c r="E100" s="79"/>
      <c r="F100" s="131">
        <v>108000</v>
      </c>
      <c r="G100" s="131"/>
      <c r="H100" s="131"/>
      <c r="I100" s="131">
        <f>EDP!J37</f>
        <v>135000</v>
      </c>
      <c r="J100" s="131">
        <f>EDP!K37</f>
        <v>128250</v>
      </c>
      <c r="K100" s="131">
        <f>EDP!L37</f>
        <v>6750</v>
      </c>
      <c r="L100" s="81">
        <v>540</v>
      </c>
      <c r="M100" s="81">
        <f>L100*18%</f>
        <v>97.2</v>
      </c>
      <c r="N100" s="81">
        <v>0</v>
      </c>
      <c r="O100" s="81">
        <f t="shared" si="5"/>
        <v>637.20000000000005</v>
      </c>
      <c r="P100" s="55" t="s">
        <v>79</v>
      </c>
      <c r="Q100" s="368" t="s">
        <v>107</v>
      </c>
      <c r="R100" s="405">
        <f t="shared" si="11"/>
        <v>40500</v>
      </c>
      <c r="S100" s="80" t="s">
        <v>465</v>
      </c>
      <c r="T100" s="42"/>
    </row>
    <row r="101" spans="1:20" ht="29" x14ac:dyDescent="0.35">
      <c r="A101" s="55">
        <v>77</v>
      </c>
      <c r="B101" s="373">
        <v>28</v>
      </c>
      <c r="C101" s="33" t="s">
        <v>138</v>
      </c>
      <c r="D101" s="79">
        <v>1</v>
      </c>
      <c r="E101" s="79"/>
      <c r="F101" s="80">
        <v>44800</v>
      </c>
      <c r="G101" s="80">
        <v>47500</v>
      </c>
      <c r="H101" s="80">
        <v>28492</v>
      </c>
      <c r="I101" s="80">
        <f>EDP!J38</f>
        <v>42000</v>
      </c>
      <c r="J101" s="80">
        <f>EDP!K38</f>
        <v>39900</v>
      </c>
      <c r="K101" s="80">
        <f>EDP!L38</f>
        <v>2100</v>
      </c>
      <c r="L101" s="81">
        <v>293</v>
      </c>
      <c r="M101" s="81">
        <f>L101*18/100</f>
        <v>52.74</v>
      </c>
      <c r="N101" s="135">
        <v>0</v>
      </c>
      <c r="O101" s="81">
        <f t="shared" ref="O101:O108" si="12">L101+M101+N101</f>
        <v>345.74</v>
      </c>
      <c r="P101" s="55" t="s">
        <v>19</v>
      </c>
      <c r="Q101" s="52" t="s">
        <v>107</v>
      </c>
      <c r="R101" s="405">
        <f t="shared" si="11"/>
        <v>12600</v>
      </c>
      <c r="S101" s="80" t="s">
        <v>465</v>
      </c>
      <c r="T101" s="42"/>
    </row>
    <row r="102" spans="1:20" ht="29" x14ac:dyDescent="0.35">
      <c r="A102" s="55">
        <v>78</v>
      </c>
      <c r="B102" s="373">
        <v>29</v>
      </c>
      <c r="C102" s="33" t="s">
        <v>139</v>
      </c>
      <c r="D102" s="79">
        <v>1</v>
      </c>
      <c r="E102" s="79"/>
      <c r="F102" s="80">
        <v>70000</v>
      </c>
      <c r="G102" s="80"/>
      <c r="H102" s="80"/>
      <c r="I102" s="80">
        <f>EDP!J39</f>
        <v>75000</v>
      </c>
      <c r="J102" s="80">
        <f>EDP!K39</f>
        <v>71250</v>
      </c>
      <c r="K102" s="80">
        <f>EDP!L39</f>
        <v>3750</v>
      </c>
      <c r="L102" s="81">
        <v>350</v>
      </c>
      <c r="M102" s="81">
        <f>L102*18%</f>
        <v>63</v>
      </c>
      <c r="N102" s="81">
        <v>0</v>
      </c>
      <c r="O102" s="81">
        <f t="shared" si="12"/>
        <v>413</v>
      </c>
      <c r="P102" s="55" t="s">
        <v>79</v>
      </c>
      <c r="Q102" s="368" t="s">
        <v>107</v>
      </c>
      <c r="R102" s="405">
        <f t="shared" si="11"/>
        <v>22500</v>
      </c>
      <c r="S102" s="80" t="s">
        <v>465</v>
      </c>
      <c r="T102" s="42"/>
    </row>
    <row r="103" spans="1:20" ht="29" x14ac:dyDescent="0.35">
      <c r="A103" s="55">
        <v>79</v>
      </c>
      <c r="B103" s="373">
        <v>30</v>
      </c>
      <c r="C103" s="33" t="s">
        <v>140</v>
      </c>
      <c r="D103" s="79">
        <v>1</v>
      </c>
      <c r="E103" s="79"/>
      <c r="F103" s="80">
        <v>41000</v>
      </c>
      <c r="G103" s="80"/>
      <c r="H103" s="80"/>
      <c r="I103" s="80">
        <f>EDP!J40</f>
        <v>39000</v>
      </c>
      <c r="J103" s="80">
        <f>EDP!K40</f>
        <v>24700</v>
      </c>
      <c r="K103" s="80">
        <f>EDP!L40</f>
        <v>14300</v>
      </c>
      <c r="L103" s="81">
        <v>205</v>
      </c>
      <c r="M103" s="81">
        <f>L103*18%</f>
        <v>36.9</v>
      </c>
      <c r="N103" s="81">
        <v>0</v>
      </c>
      <c r="O103" s="81">
        <f t="shared" si="12"/>
        <v>241.9</v>
      </c>
      <c r="P103" s="55" t="s">
        <v>79</v>
      </c>
      <c r="Q103" s="368" t="s">
        <v>107</v>
      </c>
      <c r="R103" s="405">
        <f t="shared" si="11"/>
        <v>11700</v>
      </c>
      <c r="S103" s="80" t="s">
        <v>465</v>
      </c>
      <c r="T103" s="42"/>
    </row>
    <row r="104" spans="1:20" ht="17" x14ac:dyDescent="0.35">
      <c r="B104" s="136" t="s">
        <v>141</v>
      </c>
      <c r="C104" s="55"/>
      <c r="D104" s="79"/>
      <c r="E104" s="79"/>
      <c r="F104" s="137"/>
      <c r="G104" s="137"/>
      <c r="H104" s="137"/>
      <c r="I104" s="137"/>
      <c r="J104" s="137"/>
      <c r="K104" s="137"/>
      <c r="L104" s="53"/>
      <c r="M104" s="53"/>
      <c r="N104" s="53"/>
      <c r="O104" s="81"/>
      <c r="P104" s="55"/>
      <c r="Q104" s="52"/>
      <c r="R104" s="263"/>
      <c r="S104" s="263"/>
      <c r="T104" s="42"/>
    </row>
    <row r="105" spans="1:20" ht="29" x14ac:dyDescent="0.35">
      <c r="A105" s="55">
        <v>80</v>
      </c>
      <c r="B105" s="373">
        <v>1</v>
      </c>
      <c r="C105" s="365" t="s">
        <v>142</v>
      </c>
      <c r="D105" s="373">
        <v>1</v>
      </c>
      <c r="E105" s="373"/>
      <c r="F105" s="131">
        <v>40000</v>
      </c>
      <c r="G105" s="131"/>
      <c r="H105" s="131"/>
      <c r="I105" s="131">
        <f>EDP!J42</f>
        <v>38000</v>
      </c>
      <c r="J105" s="131">
        <f>EDP!K42</f>
        <v>36100</v>
      </c>
      <c r="K105" s="131">
        <f>EDP!L42</f>
        <v>1900</v>
      </c>
      <c r="L105" s="81">
        <v>200</v>
      </c>
      <c r="M105" s="81">
        <f>L105*18%</f>
        <v>36</v>
      </c>
      <c r="N105" s="81">
        <v>0</v>
      </c>
      <c r="O105" s="81">
        <f t="shared" si="12"/>
        <v>236</v>
      </c>
      <c r="P105" s="55" t="s">
        <v>79</v>
      </c>
      <c r="Q105" s="368" t="s">
        <v>107</v>
      </c>
      <c r="R105" s="405">
        <f t="shared" si="11"/>
        <v>11400</v>
      </c>
      <c r="S105" s="14" t="s">
        <v>465</v>
      </c>
      <c r="T105" s="42"/>
    </row>
    <row r="106" spans="1:20" ht="29" x14ac:dyDescent="0.35">
      <c r="A106" s="55">
        <v>81</v>
      </c>
      <c r="B106" s="373">
        <v>2</v>
      </c>
      <c r="C106" s="32" t="s">
        <v>143</v>
      </c>
      <c r="D106" s="79">
        <v>1</v>
      </c>
      <c r="E106" s="79"/>
      <c r="F106" s="131">
        <v>45000</v>
      </c>
      <c r="G106" s="131"/>
      <c r="H106" s="131"/>
      <c r="I106" s="397">
        <f>EDP!J43</f>
        <v>42500</v>
      </c>
      <c r="J106" s="397">
        <f>EDP!K43</f>
        <v>40375</v>
      </c>
      <c r="K106" s="397">
        <f>EDP!L43</f>
        <v>2125</v>
      </c>
      <c r="L106" s="398">
        <v>225</v>
      </c>
      <c r="M106" s="398">
        <f>L106*18%</f>
        <v>40.5</v>
      </c>
      <c r="N106" s="398">
        <v>0</v>
      </c>
      <c r="O106" s="398">
        <f t="shared" si="12"/>
        <v>265.5</v>
      </c>
      <c r="P106" s="324" t="s">
        <v>79</v>
      </c>
      <c r="Q106" s="399" t="s">
        <v>107</v>
      </c>
      <c r="R106" s="292">
        <f t="shared" si="11"/>
        <v>12750</v>
      </c>
      <c r="S106" s="80" t="s">
        <v>465</v>
      </c>
      <c r="T106" s="42"/>
    </row>
    <row r="107" spans="1:20" ht="29" x14ac:dyDescent="0.35">
      <c r="A107" s="55">
        <v>82</v>
      </c>
      <c r="B107" s="373">
        <v>3</v>
      </c>
      <c r="C107" s="400" t="s">
        <v>144</v>
      </c>
      <c r="D107" s="378">
        <v>1</v>
      </c>
      <c r="E107" s="378"/>
      <c r="F107" s="397">
        <v>40000</v>
      </c>
      <c r="G107" s="397"/>
      <c r="H107" s="397"/>
      <c r="I107" s="131">
        <f>EDP!J44</f>
        <v>47000</v>
      </c>
      <c r="J107" s="131">
        <f>EDP!K44</f>
        <v>29766.666666666668</v>
      </c>
      <c r="K107" s="131">
        <f>EDP!L44</f>
        <v>17233.333333333332</v>
      </c>
      <c r="L107" s="81">
        <v>200</v>
      </c>
      <c r="M107" s="81">
        <f>L107*18%</f>
        <v>36</v>
      </c>
      <c r="N107" s="81">
        <v>0</v>
      </c>
      <c r="O107" s="81">
        <f t="shared" si="12"/>
        <v>236</v>
      </c>
      <c r="P107" s="55" t="s">
        <v>79</v>
      </c>
      <c r="Q107" s="376" t="s">
        <v>107</v>
      </c>
      <c r="R107" s="405">
        <f t="shared" si="11"/>
        <v>14100</v>
      </c>
      <c r="S107" s="80" t="s">
        <v>465</v>
      </c>
      <c r="T107" s="42"/>
    </row>
    <row r="108" spans="1:20" ht="29" x14ac:dyDescent="0.35">
      <c r="A108" s="3">
        <v>83</v>
      </c>
      <c r="B108" s="373">
        <v>4</v>
      </c>
      <c r="C108" s="375" t="s">
        <v>145</v>
      </c>
      <c r="D108" s="377">
        <v>1</v>
      </c>
      <c r="E108" s="377"/>
      <c r="F108" s="131">
        <v>36000</v>
      </c>
      <c r="G108" s="131"/>
      <c r="H108" s="131"/>
      <c r="I108" s="131">
        <f>EDP!J45</f>
        <v>36000</v>
      </c>
      <c r="J108" s="131">
        <f>EDP!K45</f>
        <v>34200</v>
      </c>
      <c r="K108" s="131">
        <f>EDP!L45</f>
        <v>1800</v>
      </c>
      <c r="L108" s="81">
        <v>180</v>
      </c>
      <c r="M108" s="81">
        <f>L108*18%</f>
        <v>32.4</v>
      </c>
      <c r="N108" s="81">
        <v>0</v>
      </c>
      <c r="O108" s="81">
        <f t="shared" si="12"/>
        <v>212.4</v>
      </c>
      <c r="P108" s="55" t="s">
        <v>79</v>
      </c>
      <c r="Q108" s="376" t="s">
        <v>107</v>
      </c>
      <c r="R108" s="405">
        <f t="shared" si="11"/>
        <v>10800</v>
      </c>
      <c r="S108" s="293" t="s">
        <v>465</v>
      </c>
      <c r="T108" s="42"/>
    </row>
    <row r="109" spans="1:20" ht="15.5" x14ac:dyDescent="0.35">
      <c r="A109" s="3">
        <v>84</v>
      </c>
      <c r="B109" s="373">
        <v>5</v>
      </c>
      <c r="C109" s="401" t="s">
        <v>437</v>
      </c>
      <c r="D109" s="379">
        <v>1</v>
      </c>
      <c r="E109" s="379"/>
      <c r="F109" s="402"/>
      <c r="G109" s="403">
        <f>[1]Sheet2!$F$38</f>
        <v>127800</v>
      </c>
      <c r="H109" s="404"/>
      <c r="I109" s="80">
        <f>EDP!J46</f>
        <v>127800</v>
      </c>
      <c r="J109" s="306">
        <f>EDP!K46</f>
        <v>0</v>
      </c>
      <c r="K109" s="271">
        <f>EDP!L46</f>
        <v>127800</v>
      </c>
      <c r="L109" s="80">
        <f>J109-K109</f>
        <v>-127800</v>
      </c>
      <c r="M109" s="81"/>
      <c r="N109" s="81"/>
      <c r="O109" s="81"/>
      <c r="P109" s="81"/>
      <c r="Q109" s="55"/>
      <c r="R109" s="280">
        <f>I109*30%</f>
        <v>38340</v>
      </c>
      <c r="S109" s="42"/>
      <c r="T109" s="42"/>
    </row>
    <row r="110" spans="1:20" x14ac:dyDescent="0.35">
      <c r="A110" s="98">
        <v>85</v>
      </c>
      <c r="B110" s="373"/>
      <c r="C110" s="134" t="s">
        <v>475</v>
      </c>
      <c r="D110" s="373"/>
      <c r="E110" s="373"/>
      <c r="F110" s="278">
        <f>F109+F108+F107+F106+F105+F103+F102+F101+F100+F99+F97+F95+F94+F93+F91+F90+F89+F88+F86+F85+F84+F83+F82+F81+F80+F79+F78+F77+F76+F75+F74</f>
        <v>21318552</v>
      </c>
      <c r="G110" s="278">
        <f t="shared" ref="G110:R110" si="13">G109+G108+G107+G106+G105+G103+G102+G101+G100+G99+G97+G95+G94+G93+G91+G90+G89+G88+G86+G85+G84+G83+G82+G81+G80+G79+G78+G77+G76+G75+G74</f>
        <v>7978581.54</v>
      </c>
      <c r="H110" s="406">
        <f t="shared" si="13"/>
        <v>5242057.1900000004</v>
      </c>
      <c r="I110" s="278">
        <f t="shared" si="13"/>
        <v>29146300</v>
      </c>
      <c r="J110" s="278">
        <f t="shared" si="13"/>
        <v>26352841.666666668</v>
      </c>
      <c r="K110" s="278">
        <f t="shared" si="13"/>
        <v>2944508.3333333335</v>
      </c>
      <c r="L110" s="278">
        <f t="shared" si="13"/>
        <v>-32656</v>
      </c>
      <c r="M110" s="278">
        <f t="shared" si="13"/>
        <v>17125.920000000002</v>
      </c>
      <c r="N110" s="278">
        <f t="shared" si="13"/>
        <v>0</v>
      </c>
      <c r="O110" s="278">
        <f t="shared" si="13"/>
        <v>112269.91999999998</v>
      </c>
      <c r="P110" s="278" t="e">
        <f t="shared" si="13"/>
        <v>#VALUE!</v>
      </c>
      <c r="Q110" s="278" t="e">
        <f t="shared" si="13"/>
        <v>#VALUE!</v>
      </c>
      <c r="R110" s="278">
        <f t="shared" si="13"/>
        <v>6287190</v>
      </c>
      <c r="S110" s="42"/>
      <c r="T110" s="42"/>
    </row>
    <row r="111" spans="1:20" ht="15.5" x14ac:dyDescent="0.35">
      <c r="A111" s="98"/>
      <c r="B111" s="373"/>
      <c r="C111" s="365"/>
      <c r="D111" s="373"/>
      <c r="E111" s="373"/>
      <c r="F111" s="131"/>
      <c r="G111" s="80"/>
      <c r="H111" s="131"/>
      <c r="I111" s="80"/>
      <c r="J111" s="306"/>
      <c r="K111" s="271"/>
      <c r="L111" s="80"/>
      <c r="M111" s="81"/>
      <c r="N111" s="81"/>
      <c r="O111" s="81"/>
      <c r="P111" s="81"/>
      <c r="Q111" s="55"/>
      <c r="R111" s="280"/>
      <c r="S111" s="42"/>
      <c r="T111" s="42"/>
    </row>
    <row r="112" spans="1:20" ht="19.5" x14ac:dyDescent="0.35">
      <c r="C112" s="133" t="s">
        <v>159</v>
      </c>
      <c r="D112" s="373"/>
      <c r="E112" s="373"/>
      <c r="F112" s="53"/>
      <c r="G112" s="53"/>
      <c r="H112" s="53"/>
      <c r="I112" s="53"/>
      <c r="J112" s="53"/>
      <c r="K112" s="53"/>
      <c r="L112" s="53"/>
      <c r="M112" s="53"/>
      <c r="N112" s="53"/>
      <c r="O112" s="54"/>
      <c r="P112" s="55"/>
      <c r="Q112" s="33"/>
      <c r="R112" s="33"/>
      <c r="S112" s="33"/>
    </row>
    <row r="113" spans="1:21" ht="43.5" x14ac:dyDescent="0.35">
      <c r="A113" s="55">
        <v>86</v>
      </c>
      <c r="B113" s="373">
        <v>1</v>
      </c>
      <c r="C113" s="33" t="s">
        <v>152</v>
      </c>
      <c r="D113" s="373"/>
      <c r="E113" s="373"/>
      <c r="F113" s="137">
        <v>700000000</v>
      </c>
      <c r="G113" s="137"/>
      <c r="H113" s="137"/>
      <c r="I113" s="137">
        <v>800000000</v>
      </c>
      <c r="J113" s="306">
        <v>0</v>
      </c>
      <c r="K113" s="37">
        <v>800000000</v>
      </c>
      <c r="L113" s="140">
        <v>148723</v>
      </c>
      <c r="M113" s="140">
        <v>26770</v>
      </c>
      <c r="N113" s="55">
        <v>0</v>
      </c>
      <c r="O113" s="364">
        <f>+L113+M113+N113</f>
        <v>175493</v>
      </c>
      <c r="P113" s="55" t="s">
        <v>44</v>
      </c>
      <c r="Q113" s="32" t="s">
        <v>151</v>
      </c>
      <c r="R113" s="137">
        <v>800000000</v>
      </c>
      <c r="S113" s="32" t="s">
        <v>464</v>
      </c>
      <c r="T113" s="3">
        <v>800000000</v>
      </c>
      <c r="U113" s="3" t="s">
        <v>410</v>
      </c>
    </row>
    <row r="114" spans="1:21" x14ac:dyDescent="0.35">
      <c r="B114" s="373"/>
      <c r="C114" s="141"/>
      <c r="D114" s="373"/>
      <c r="E114" s="373"/>
      <c r="F114" s="131"/>
      <c r="G114" s="131"/>
      <c r="H114" s="131"/>
      <c r="I114" s="131"/>
      <c r="J114" s="131"/>
      <c r="K114" s="131"/>
      <c r="L114" s="53">
        <v>0</v>
      </c>
      <c r="M114" s="53">
        <v>0</v>
      </c>
      <c r="N114" s="53">
        <v>0</v>
      </c>
      <c r="O114" s="53">
        <v>0</v>
      </c>
      <c r="P114" s="55"/>
      <c r="Q114" s="56"/>
      <c r="R114" s="58"/>
      <c r="S114" s="266"/>
    </row>
    <row r="115" spans="1:21" ht="15.5" x14ac:dyDescent="0.35">
      <c r="B115" s="373"/>
      <c r="C115" s="372" t="s">
        <v>467</v>
      </c>
      <c r="D115" s="373"/>
      <c r="E115" s="373"/>
      <c r="F115" s="58">
        <f>F113</f>
        <v>700000000</v>
      </c>
      <c r="G115" s="58"/>
      <c r="H115" s="58"/>
      <c r="I115" s="58">
        <f>I113</f>
        <v>800000000</v>
      </c>
      <c r="J115" s="58"/>
      <c r="K115" s="58">
        <f>K113</f>
        <v>800000000</v>
      </c>
      <c r="L115" s="57">
        <f ca="1">SUM(L5:L113)</f>
        <v>4744979</v>
      </c>
      <c r="M115" s="57">
        <f ca="1">SUM(M5:M113)</f>
        <v>900104.96000000008</v>
      </c>
      <c r="N115" s="57">
        <f ca="1">SUM(N5:N113)</f>
        <v>113710</v>
      </c>
      <c r="O115" s="57">
        <f ca="1">SUM(O5:O113)</f>
        <v>6014393.9600000009</v>
      </c>
      <c r="P115" s="55"/>
      <c r="Q115" s="33"/>
      <c r="R115" s="58">
        <f>R113</f>
        <v>800000000</v>
      </c>
      <c r="S115" s="265"/>
    </row>
    <row r="117" spans="1:21" ht="23.5" x14ac:dyDescent="0.35">
      <c r="C117" s="353" t="s">
        <v>479</v>
      </c>
      <c r="D117" s="354"/>
      <c r="E117" s="354"/>
      <c r="F117" s="356">
        <f>F115+F110+F70+F50+F16</f>
        <v>2892660805</v>
      </c>
      <c r="G117" s="355"/>
      <c r="H117" s="355"/>
      <c r="I117" s="356">
        <f>I115+I110+I70+I50+I16</f>
        <v>6278905620.3999996</v>
      </c>
      <c r="J117" s="356">
        <f t="shared" ref="J117:Q117" si="14">J115+J110+J70+J50+J16</f>
        <v>2905617102.8585672</v>
      </c>
      <c r="K117" s="356">
        <f>K115+K110+K70+K50+K16</f>
        <v>3834049532.3126335</v>
      </c>
      <c r="L117" s="356">
        <f t="shared" ca="1" si="14"/>
        <v>7043107</v>
      </c>
      <c r="M117" s="356">
        <f t="shared" ca="1" si="14"/>
        <v>1336772.4400000002</v>
      </c>
      <c r="N117" s="356">
        <f t="shared" ca="1" si="14"/>
        <v>170565</v>
      </c>
      <c r="O117" s="356">
        <f t="shared" ca="1" si="14"/>
        <v>8933844.4400000013</v>
      </c>
      <c r="P117" s="356" t="e">
        <f t="shared" ca="1" si="14"/>
        <v>#VALUE!</v>
      </c>
      <c r="Q117" s="356" t="e">
        <f t="shared" ca="1" si="14"/>
        <v>#VALUE!</v>
      </c>
      <c r="R117" s="356">
        <f>R115+R110+R70+R50+R16</f>
        <v>1171744357.0999999</v>
      </c>
      <c r="S117" s="442"/>
    </row>
    <row r="118" spans="1:21" ht="21" x14ac:dyDescent="0.35">
      <c r="C118" s="352" t="s">
        <v>502</v>
      </c>
      <c r="I118" s="282"/>
      <c r="J118" s="282"/>
      <c r="K118" s="408">
        <f>K117*12%</f>
        <v>460085943.87751603</v>
      </c>
      <c r="L118" s="282"/>
      <c r="M118" s="282"/>
      <c r="N118" s="282"/>
      <c r="O118" s="282"/>
      <c r="P118" s="282"/>
      <c r="Q118" s="282"/>
      <c r="R118" s="409">
        <f>R117*12%</f>
        <v>140609322.852</v>
      </c>
      <c r="S118" s="383"/>
    </row>
    <row r="119" spans="1:21" ht="21" x14ac:dyDescent="0.35">
      <c r="C119" s="352" t="s">
        <v>481</v>
      </c>
      <c r="I119" s="282"/>
      <c r="J119" s="282"/>
      <c r="K119" s="282">
        <f>K118*2</f>
        <v>920171887.75503206</v>
      </c>
      <c r="L119" s="282"/>
      <c r="M119" s="282"/>
      <c r="N119" s="282"/>
      <c r="O119" s="282"/>
      <c r="P119" s="282"/>
      <c r="Q119" s="282"/>
      <c r="R119" s="357">
        <f>R118*2%</f>
        <v>2812186.4570400002</v>
      </c>
      <c r="S119" s="383"/>
    </row>
    <row r="120" spans="1:21" ht="21" x14ac:dyDescent="0.35">
      <c r="C120" s="352"/>
      <c r="I120" s="282"/>
      <c r="J120" s="282"/>
      <c r="K120" s="282"/>
      <c r="L120" s="282"/>
      <c r="M120" s="282"/>
      <c r="N120" s="282"/>
      <c r="O120" s="282"/>
      <c r="P120" s="282"/>
      <c r="Q120" s="282"/>
      <c r="R120" s="357" t="s">
        <v>502</v>
      </c>
      <c r="S120" s="383" t="s">
        <v>500</v>
      </c>
      <c r="T120" s="433" t="s">
        <v>503</v>
      </c>
    </row>
    <row r="121" spans="1:21" ht="21" x14ac:dyDescent="0.35">
      <c r="B121" s="410">
        <v>1</v>
      </c>
      <c r="C121" s="98" t="s">
        <v>496</v>
      </c>
      <c r="D121" s="411"/>
      <c r="E121" s="411"/>
      <c r="F121" s="412"/>
      <c r="G121" s="412"/>
      <c r="H121" s="412"/>
      <c r="I121" s="413"/>
      <c r="J121" s="413"/>
      <c r="K121" s="414" t="s">
        <v>494</v>
      </c>
      <c r="L121" s="413"/>
      <c r="M121" s="413"/>
      <c r="N121" s="413"/>
      <c r="O121" s="413"/>
      <c r="P121" s="413"/>
      <c r="Q121" s="413"/>
      <c r="R121" s="415">
        <v>0</v>
      </c>
      <c r="S121" s="416">
        <f>R121*2%</f>
        <v>0</v>
      </c>
    </row>
    <row r="122" spans="1:21" x14ac:dyDescent="0.35">
      <c r="B122" s="417">
        <v>2</v>
      </c>
      <c r="C122" s="98" t="s">
        <v>488</v>
      </c>
      <c r="D122" s="98"/>
      <c r="E122" s="98"/>
      <c r="F122" s="98"/>
      <c r="G122" s="98"/>
      <c r="H122" s="98"/>
      <c r="I122" s="98"/>
      <c r="J122" s="98"/>
      <c r="K122" s="98" t="s">
        <v>494</v>
      </c>
      <c r="L122" s="98"/>
      <c r="M122" s="98"/>
      <c r="N122" s="98"/>
      <c r="O122" s="98"/>
      <c r="P122" s="98"/>
      <c r="Q122" s="98"/>
      <c r="R122" s="426">
        <f>R117*12%</f>
        <v>140609322.852</v>
      </c>
      <c r="S122" s="236">
        <f>R122*2%</f>
        <v>2812186.4570400002</v>
      </c>
      <c r="T122" s="429">
        <f>R117*15%</f>
        <v>175761653.56499997</v>
      </c>
      <c r="U122" s="431">
        <f>T122*2%</f>
        <v>3515233.0712999995</v>
      </c>
    </row>
    <row r="123" spans="1:21" x14ac:dyDescent="0.35">
      <c r="B123" s="417"/>
      <c r="C123" s="98" t="s">
        <v>489</v>
      </c>
      <c r="D123" s="98"/>
      <c r="E123" s="98"/>
      <c r="F123" s="98"/>
      <c r="G123" s="98"/>
      <c r="H123" s="98"/>
      <c r="I123" s="98"/>
      <c r="J123" s="98"/>
      <c r="K123" s="98" t="s">
        <v>494</v>
      </c>
      <c r="L123" s="98"/>
      <c r="M123" s="98"/>
      <c r="N123" s="98"/>
      <c r="O123" s="98"/>
      <c r="P123" s="98"/>
      <c r="Q123" s="98"/>
      <c r="R123" s="420">
        <v>10000000</v>
      </c>
      <c r="S123" s="418">
        <f>R123*2%</f>
        <v>200000</v>
      </c>
      <c r="T123" s="429">
        <f>R123</f>
        <v>10000000</v>
      </c>
      <c r="U123" s="3">
        <v>200000</v>
      </c>
    </row>
    <row r="124" spans="1:21" x14ac:dyDescent="0.35">
      <c r="B124" s="417"/>
      <c r="C124" s="98" t="s">
        <v>490</v>
      </c>
      <c r="D124" s="98"/>
      <c r="E124" s="98"/>
      <c r="F124" s="98"/>
      <c r="G124" s="98"/>
      <c r="H124" s="98"/>
      <c r="I124" s="98"/>
      <c r="J124" s="98"/>
      <c r="K124" s="98" t="s">
        <v>494</v>
      </c>
      <c r="L124" s="98"/>
      <c r="M124" s="98"/>
      <c r="N124" s="98"/>
      <c r="O124" s="98"/>
      <c r="P124" s="98"/>
      <c r="Q124" s="98"/>
      <c r="R124" s="98">
        <v>0</v>
      </c>
      <c r="S124" s="419">
        <f>R124*2%</f>
        <v>0</v>
      </c>
    </row>
    <row r="125" spans="1:21" ht="130.5" x14ac:dyDescent="0.35">
      <c r="B125" s="417">
        <v>3</v>
      </c>
      <c r="C125" s="98" t="s">
        <v>491</v>
      </c>
      <c r="D125" s="98"/>
      <c r="E125" s="98"/>
      <c r="F125" s="98"/>
      <c r="G125" s="98"/>
      <c r="H125" s="98"/>
      <c r="I125" s="259" t="s">
        <v>499</v>
      </c>
      <c r="J125" s="98"/>
      <c r="K125" s="98" t="s">
        <v>495</v>
      </c>
      <c r="L125" s="98"/>
      <c r="M125" s="98"/>
      <c r="N125" s="98"/>
      <c r="O125" s="98"/>
      <c r="P125" s="98"/>
      <c r="Q125" s="98"/>
      <c r="R125" s="420">
        <v>125700000</v>
      </c>
      <c r="S125" s="418">
        <f>R125*0.5%</f>
        <v>628500</v>
      </c>
      <c r="T125" s="429">
        <f>R125</f>
        <v>125700000</v>
      </c>
      <c r="U125" s="429">
        <f>S125</f>
        <v>628500</v>
      </c>
    </row>
    <row r="126" spans="1:21" x14ac:dyDescent="0.35">
      <c r="B126" s="417">
        <v>4</v>
      </c>
      <c r="C126" s="98" t="s">
        <v>497</v>
      </c>
      <c r="D126" s="98"/>
      <c r="E126" s="98"/>
      <c r="F126" s="98"/>
      <c r="G126" s="98"/>
      <c r="H126" s="98"/>
      <c r="I126" s="98"/>
      <c r="J126" s="98"/>
      <c r="K126" s="98" t="s">
        <v>495</v>
      </c>
      <c r="L126" s="98"/>
      <c r="M126" s="98"/>
      <c r="N126" s="98"/>
      <c r="O126" s="98"/>
      <c r="P126" s="98"/>
      <c r="Q126" s="98"/>
      <c r="R126" s="421">
        <f>R136</f>
        <v>575050795.5</v>
      </c>
      <c r="S126" s="422">
        <f>R126*0.5%</f>
        <v>2875253.9775</v>
      </c>
      <c r="T126" s="432">
        <f>R126</f>
        <v>575050795.5</v>
      </c>
      <c r="U126" s="430">
        <f>S126</f>
        <v>2875253.9775</v>
      </c>
    </row>
    <row r="127" spans="1:21" ht="23.25" customHeight="1" x14ac:dyDescent="0.35">
      <c r="B127" s="423"/>
      <c r="C127" s="424" t="s">
        <v>501</v>
      </c>
      <c r="D127" s="424"/>
      <c r="E127" s="424"/>
      <c r="F127" s="424"/>
      <c r="G127" s="424"/>
      <c r="H127" s="424"/>
      <c r="I127" s="424"/>
      <c r="J127" s="424"/>
      <c r="K127" s="424"/>
      <c r="L127" s="424"/>
      <c r="M127" s="424"/>
      <c r="N127" s="424"/>
      <c r="O127" s="424"/>
      <c r="P127" s="424"/>
      <c r="Q127" s="424"/>
      <c r="R127" s="427">
        <f>R122+R123+R125+R126</f>
        <v>851360118.352</v>
      </c>
      <c r="S127" s="425">
        <f>SUM(S122:S126)</f>
        <v>6515940.4345399998</v>
      </c>
      <c r="T127" s="429">
        <f>SUM(T122:T126)</f>
        <v>886512449.06499994</v>
      </c>
      <c r="U127" s="431">
        <f>SUM(U122:U126)</f>
        <v>7218987.0488</v>
      </c>
    </row>
    <row r="128" spans="1:21" ht="17.25" customHeight="1" x14ac:dyDescent="0.35">
      <c r="B128" s="626" t="s">
        <v>487</v>
      </c>
      <c r="C128" s="626"/>
      <c r="D128" s="77"/>
      <c r="E128" s="77"/>
      <c r="F128" s="76"/>
      <c r="G128" s="76"/>
      <c r="H128" s="76"/>
      <c r="I128" s="76"/>
      <c r="J128" s="76"/>
      <c r="K128" s="76"/>
      <c r="L128" s="76"/>
      <c r="N128" s="35"/>
      <c r="O128" s="3"/>
      <c r="Q128" s="3"/>
      <c r="R128" s="385"/>
      <c r="S128" s="3"/>
    </row>
    <row r="129" spans="2:20" ht="29" x14ac:dyDescent="0.35">
      <c r="B129" s="373">
        <v>1</v>
      </c>
      <c r="C129" s="82" t="s">
        <v>8</v>
      </c>
      <c r="D129" s="363">
        <v>1</v>
      </c>
      <c r="E129" s="363" t="s">
        <v>264</v>
      </c>
      <c r="F129" s="80">
        <v>200000000</v>
      </c>
      <c r="G129" s="80">
        <f>Annexures!D5</f>
        <v>353344431</v>
      </c>
      <c r="H129" s="80">
        <f>Annexures!M5</f>
        <v>1</v>
      </c>
      <c r="I129" s="80">
        <v>1800000000</v>
      </c>
      <c r="J129" s="80">
        <f>I129*0.95</f>
        <v>1710000000</v>
      </c>
      <c r="K129" s="236">
        <v>90000000</v>
      </c>
      <c r="L129" s="127">
        <v>264000</v>
      </c>
      <c r="M129" s="81">
        <f>L129*18%</f>
        <v>47520</v>
      </c>
      <c r="N129" s="81">
        <v>20000</v>
      </c>
      <c r="O129" s="81">
        <f>L129+M129+N129</f>
        <v>331520</v>
      </c>
      <c r="P129" s="55" t="s">
        <v>10</v>
      </c>
      <c r="Q129" s="376" t="s">
        <v>9</v>
      </c>
      <c r="R129" s="236">
        <f>K129</f>
        <v>90000000</v>
      </c>
      <c r="S129" s="55" t="s">
        <v>415</v>
      </c>
      <c r="T129" s="23" t="s">
        <v>416</v>
      </c>
    </row>
    <row r="130" spans="2:20" ht="15.5" x14ac:dyDescent="0.35">
      <c r="B130" s="132" t="s">
        <v>26</v>
      </c>
      <c r="C130" s="55"/>
      <c r="D130" s="363"/>
      <c r="E130" s="363"/>
      <c r="F130" s="80"/>
      <c r="G130" s="80"/>
      <c r="H130" s="80"/>
      <c r="I130" s="80"/>
      <c r="J130" s="80"/>
      <c r="K130" s="80"/>
      <c r="L130" s="53"/>
      <c r="M130" s="53"/>
      <c r="N130" s="53"/>
      <c r="O130" s="81"/>
      <c r="P130" s="55"/>
      <c r="Q130" s="52"/>
      <c r="R130" s="294"/>
      <c r="S130" s="52"/>
      <c r="T130" s="301"/>
    </row>
    <row r="131" spans="2:20" ht="116" x14ac:dyDescent="0.35">
      <c r="B131" s="373">
        <v>9</v>
      </c>
      <c r="C131" s="82" t="s">
        <v>27</v>
      </c>
      <c r="D131" s="309">
        <v>1</v>
      </c>
      <c r="E131" s="627" t="s">
        <v>264</v>
      </c>
      <c r="F131" s="80">
        <v>7600000</v>
      </c>
      <c r="G131" s="80">
        <f>Annexures!D41</f>
        <v>12254547</v>
      </c>
      <c r="H131" s="80">
        <f>Annexures!M41</f>
        <v>6001448</v>
      </c>
      <c r="I131" s="80">
        <f>Annexures!O41</f>
        <v>13834394</v>
      </c>
      <c r="J131" s="80">
        <f>Annexures!P41</f>
        <v>7228470.8649999993</v>
      </c>
      <c r="K131" s="80">
        <f>Annexures!Q41</f>
        <v>6605923.1350000007</v>
      </c>
      <c r="L131" s="81">
        <v>38000</v>
      </c>
      <c r="M131" s="81">
        <f>L131*18%</f>
        <v>6840</v>
      </c>
      <c r="N131" s="81">
        <v>760</v>
      </c>
      <c r="O131" s="81">
        <f>L131+M131+N131</f>
        <v>45600</v>
      </c>
      <c r="P131" s="55" t="s">
        <v>19</v>
      </c>
      <c r="Q131" s="376" t="s">
        <v>14</v>
      </c>
      <c r="R131" s="434">
        <f>I131*75%</f>
        <v>10375795.5</v>
      </c>
      <c r="S131" s="55" t="s">
        <v>428</v>
      </c>
      <c r="T131" s="23" t="s">
        <v>429</v>
      </c>
    </row>
    <row r="132" spans="2:20" ht="116" x14ac:dyDescent="0.35">
      <c r="B132" s="373">
        <v>10</v>
      </c>
      <c r="C132" s="82" t="s">
        <v>28</v>
      </c>
      <c r="D132" s="309">
        <v>1</v>
      </c>
      <c r="E132" s="627"/>
      <c r="F132" s="80">
        <v>950000</v>
      </c>
      <c r="G132" s="80">
        <f>Annexures!D44</f>
        <v>2577417</v>
      </c>
      <c r="H132" s="80">
        <f>Annexures!M44</f>
        <v>1262283</v>
      </c>
      <c r="I132" s="80">
        <f>Annexures!O44</f>
        <v>2900000</v>
      </c>
      <c r="J132" s="80">
        <f>Annexures!P44</f>
        <v>1515250</v>
      </c>
      <c r="K132" s="80">
        <f>Annexures!Q44</f>
        <v>1384750</v>
      </c>
      <c r="L132" s="81">
        <v>1425</v>
      </c>
      <c r="M132" s="81">
        <f>L132*18%</f>
        <v>256.5</v>
      </c>
      <c r="N132" s="81">
        <v>95</v>
      </c>
      <c r="O132" s="81">
        <f>L132+M132+N132</f>
        <v>1776.5</v>
      </c>
      <c r="P132" s="55" t="s">
        <v>19</v>
      </c>
      <c r="Q132" s="368" t="s">
        <v>9</v>
      </c>
      <c r="R132" s="236">
        <f>I132*75%</f>
        <v>2175000</v>
      </c>
      <c r="S132" s="23" t="s">
        <v>430</v>
      </c>
      <c r="T132" s="23" t="s">
        <v>431</v>
      </c>
    </row>
    <row r="133" spans="2:20" ht="15.5" x14ac:dyDescent="0.35">
      <c r="B133" s="132" t="s">
        <v>29</v>
      </c>
      <c r="C133" s="55"/>
      <c r="D133" s="309"/>
      <c r="E133" s="627"/>
      <c r="F133" s="80"/>
      <c r="G133" s="80"/>
      <c r="H133" s="80"/>
      <c r="I133" s="80"/>
      <c r="J133" s="80"/>
      <c r="K133" s="80"/>
      <c r="L133" s="53"/>
      <c r="M133" s="53"/>
      <c r="N133" s="53"/>
      <c r="O133" s="81"/>
      <c r="P133" s="55"/>
      <c r="Q133" s="52"/>
      <c r="R133" s="294"/>
      <c r="S133" s="52"/>
      <c r="T133" s="301"/>
    </row>
    <row r="134" spans="2:20" ht="29" x14ac:dyDescent="0.35">
      <c r="B134" s="373">
        <v>11</v>
      </c>
      <c r="C134" s="82" t="s">
        <v>30</v>
      </c>
      <c r="D134" s="309">
        <v>1</v>
      </c>
      <c r="E134" s="627"/>
      <c r="F134" s="80">
        <v>250000000</v>
      </c>
      <c r="G134" s="80">
        <f>Annexures!D47</f>
        <v>405113094</v>
      </c>
      <c r="H134" s="80">
        <f>Annexures!M47</f>
        <v>205394975</v>
      </c>
      <c r="I134" s="80">
        <f>Annexures!O47</f>
        <v>450000000</v>
      </c>
      <c r="J134" s="80">
        <f>Annexures!P47</f>
        <v>213750000</v>
      </c>
      <c r="K134" s="80">
        <v>236250000</v>
      </c>
      <c r="L134" s="81">
        <v>625000</v>
      </c>
      <c r="M134" s="81">
        <f>L134*18%</f>
        <v>112500</v>
      </c>
      <c r="N134" s="81">
        <v>25000</v>
      </c>
      <c r="O134" s="81">
        <f>L134+M134+N134</f>
        <v>762500</v>
      </c>
      <c r="P134" s="55" t="s">
        <v>19</v>
      </c>
      <c r="Q134" s="376" t="s">
        <v>31</v>
      </c>
      <c r="R134" s="236">
        <f>K134</f>
        <v>236250000</v>
      </c>
      <c r="S134" s="23" t="s">
        <v>440</v>
      </c>
      <c r="T134" s="23" t="s">
        <v>440</v>
      </c>
    </row>
    <row r="135" spans="2:20" ht="29" x14ac:dyDescent="0.35">
      <c r="B135" s="373">
        <v>12</v>
      </c>
      <c r="C135" s="82" t="s">
        <v>32</v>
      </c>
      <c r="D135" s="309">
        <v>1</v>
      </c>
      <c r="E135" s="627"/>
      <c r="F135" s="80">
        <v>250000000</v>
      </c>
      <c r="G135" s="80">
        <f>Annexures!D50</f>
        <v>405113094.41000003</v>
      </c>
      <c r="H135" s="80">
        <f>Annexures!M50</f>
        <v>210773714</v>
      </c>
      <c r="I135" s="80">
        <f>Annexures!O50</f>
        <v>450000000</v>
      </c>
      <c r="J135" s="80">
        <f>Annexures!P50</f>
        <v>213750000</v>
      </c>
      <c r="K135" s="80">
        <f>Annexures!Q50</f>
        <v>236250000</v>
      </c>
      <c r="L135" s="81">
        <f>'[2]Asset wise break up'!G127</f>
        <v>625000</v>
      </c>
      <c r="M135" s="81">
        <f>L135*18%</f>
        <v>112500</v>
      </c>
      <c r="N135" s="81">
        <v>25000</v>
      </c>
      <c r="O135" s="81">
        <f>L135+M135+N135</f>
        <v>762500</v>
      </c>
      <c r="P135" s="55" t="s">
        <v>19</v>
      </c>
      <c r="Q135" s="376" t="s">
        <v>31</v>
      </c>
      <c r="R135" s="236">
        <f>K135</f>
        <v>236250000</v>
      </c>
      <c r="S135" s="23" t="s">
        <v>440</v>
      </c>
      <c r="T135" s="23" t="s">
        <v>440</v>
      </c>
    </row>
    <row r="136" spans="2:20" x14ac:dyDescent="0.35">
      <c r="I136" s="382">
        <f>I129+I131+I132+I134+I135</f>
        <v>2716734394</v>
      </c>
      <c r="K136" s="382">
        <f>K129+K131+K132+K134+K135</f>
        <v>570490673.13499999</v>
      </c>
      <c r="R136" s="382">
        <f>R129+R131+R132+R134+R135</f>
        <v>575050795.5</v>
      </c>
    </row>
    <row r="138" spans="2:20" x14ac:dyDescent="0.35">
      <c r="C138" s="2" t="s">
        <v>498</v>
      </c>
      <c r="R138" s="384">
        <f>R136*15%</f>
        <v>86257619.325000003</v>
      </c>
    </row>
    <row r="157" spans="2:24" ht="15.5" x14ac:dyDescent="0.35">
      <c r="B157" s="287"/>
      <c r="C157" s="98"/>
      <c r="D157" s="287"/>
      <c r="E157" s="287"/>
      <c r="F157" s="213"/>
      <c r="G157" s="213"/>
      <c r="H157" s="213"/>
      <c r="I157" s="213"/>
      <c r="J157" s="213"/>
      <c r="K157" s="213"/>
      <c r="L157" s="313"/>
      <c r="M157" s="313"/>
      <c r="N157" s="313"/>
      <c r="O157" s="313"/>
      <c r="P157" s="98"/>
      <c r="Q157" s="263"/>
      <c r="R157" s="98"/>
      <c r="S157" s="380"/>
      <c r="T157" s="381"/>
      <c r="U157" s="98"/>
      <c r="V157" s="98"/>
      <c r="W157" s="98"/>
      <c r="X157" s="98"/>
    </row>
    <row r="158" spans="2:24" x14ac:dyDescent="0.35">
      <c r="B158" s="287"/>
      <c r="C158" s="265"/>
      <c r="D158" s="287"/>
      <c r="E158" s="287"/>
      <c r="F158" s="320"/>
      <c r="G158" s="320"/>
      <c r="H158" s="320"/>
      <c r="I158" s="320"/>
      <c r="J158" s="320"/>
      <c r="K158" s="320"/>
      <c r="L158" s="320"/>
      <c r="M158" s="320"/>
      <c r="N158" s="320"/>
      <c r="O158" s="320"/>
      <c r="P158" s="98"/>
      <c r="Q158" s="265"/>
      <c r="R158" s="265"/>
      <c r="S158" s="265"/>
      <c r="T158" s="98"/>
      <c r="U158" s="98"/>
      <c r="V158" s="98"/>
      <c r="W158" s="98"/>
      <c r="X158" s="98"/>
    </row>
  </sheetData>
  <mergeCells count="26">
    <mergeCell ref="B2:Q2"/>
    <mergeCell ref="G3:H3"/>
    <mergeCell ref="I3:K3"/>
    <mergeCell ref="F29:F32"/>
    <mergeCell ref="G29:G32"/>
    <mergeCell ref="H29:H32"/>
    <mergeCell ref="I29:I32"/>
    <mergeCell ref="J29:J32"/>
    <mergeCell ref="K29:K32"/>
    <mergeCell ref="L29:L32"/>
    <mergeCell ref="B128:C128"/>
    <mergeCell ref="E131:E135"/>
    <mergeCell ref="T29:T32"/>
    <mergeCell ref="G93:G95"/>
    <mergeCell ref="H93:H95"/>
    <mergeCell ref="I93:I95"/>
    <mergeCell ref="J93:J95"/>
    <mergeCell ref="K93:K95"/>
    <mergeCell ref="R93:R95"/>
    <mergeCell ref="S93:S95"/>
    <mergeCell ref="M29:M32"/>
    <mergeCell ref="N29:N32"/>
    <mergeCell ref="O29:O32"/>
    <mergeCell ref="P29:P32"/>
    <mergeCell ref="Q29:Q32"/>
    <mergeCell ref="R29:R32"/>
  </mergeCells>
  <pageMargins left="0.7" right="0.7" top="0.75" bottom="0.75" header="0.3" footer="0.3"/>
  <pageSetup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2"/>
  <sheetViews>
    <sheetView topLeftCell="A16" zoomScale="82" zoomScaleNormal="82" workbookViewId="0">
      <selection activeCell="B22" sqref="B21:Z22"/>
    </sheetView>
  </sheetViews>
  <sheetFormatPr defaultColWidth="9.1796875" defaultRowHeight="14.5" x14ac:dyDescent="0.35"/>
  <cols>
    <col min="1" max="1" width="3.54296875" style="3" customWidth="1"/>
    <col min="2" max="2" width="5.1796875" style="1" customWidth="1"/>
    <col min="3" max="3" width="45.7265625" style="2" customWidth="1"/>
    <col min="4" max="4" width="10.54296875" style="1" customWidth="1"/>
    <col min="5" max="5" width="9.81640625" style="1" customWidth="1"/>
    <col min="6" max="11" width="18.26953125" style="37" customWidth="1"/>
    <col min="12" max="12" width="15.1796875" style="37" hidden="1" customWidth="1"/>
    <col min="13" max="13" width="12.54296875" style="37" hidden="1" customWidth="1"/>
    <col min="14" max="14" width="12.81640625" style="37" hidden="1" customWidth="1"/>
    <col min="15" max="15" width="15.26953125" style="37" hidden="1" customWidth="1"/>
    <col min="16" max="16" width="23.7265625" style="3" hidden="1" customWidth="1"/>
    <col min="17" max="17" width="52" style="2" hidden="1" customWidth="1"/>
    <col min="18" max="18" width="18.1796875" style="2" customWidth="1"/>
    <col min="19" max="19" width="25" style="3" customWidth="1"/>
    <col min="20" max="20" width="29.7265625" style="3" customWidth="1"/>
    <col min="21" max="16384" width="9.1796875" style="3"/>
  </cols>
  <sheetData>
    <row r="1" spans="1:20" x14ac:dyDescent="0.35">
      <c r="A1" s="3" t="s">
        <v>153</v>
      </c>
      <c r="F1" s="36"/>
      <c r="G1" s="36"/>
      <c r="H1" s="36"/>
      <c r="I1" s="36"/>
      <c r="J1" s="36"/>
      <c r="K1" s="36"/>
    </row>
    <row r="2" spans="1:20" ht="17" x14ac:dyDescent="0.35">
      <c r="B2" s="640" t="s">
        <v>157</v>
      </c>
      <c r="C2" s="640"/>
      <c r="D2" s="640"/>
      <c r="E2" s="640"/>
      <c r="F2" s="640"/>
      <c r="G2" s="640"/>
      <c r="H2" s="640"/>
      <c r="I2" s="640"/>
      <c r="J2" s="640"/>
      <c r="K2" s="640"/>
      <c r="L2" s="640"/>
      <c r="M2" s="640"/>
      <c r="N2" s="640"/>
      <c r="O2" s="640"/>
      <c r="P2" s="640"/>
      <c r="Q2" s="640"/>
      <c r="R2" s="240"/>
    </row>
    <row r="3" spans="1:20" ht="43.5" x14ac:dyDescent="0.35">
      <c r="B3" s="684" t="s">
        <v>0</v>
      </c>
      <c r="C3" s="685" t="s">
        <v>1</v>
      </c>
      <c r="D3" s="685" t="s">
        <v>2</v>
      </c>
      <c r="E3" s="79" t="s">
        <v>363</v>
      </c>
      <c r="F3" s="217" t="s">
        <v>362</v>
      </c>
      <c r="G3" s="686" t="s">
        <v>360</v>
      </c>
      <c r="H3" s="686"/>
      <c r="I3" s="686" t="s">
        <v>359</v>
      </c>
      <c r="J3" s="686"/>
      <c r="K3" s="686"/>
    </row>
    <row r="4" spans="1:20" s="5" customFormat="1" ht="36" customHeight="1" x14ac:dyDescent="0.35">
      <c r="B4" s="684"/>
      <c r="C4" s="685"/>
      <c r="D4" s="685"/>
      <c r="E4" s="6" t="s">
        <v>269</v>
      </c>
      <c r="F4" s="51" t="s">
        <v>155</v>
      </c>
      <c r="G4" s="74" t="s">
        <v>357</v>
      </c>
      <c r="H4" s="74" t="s">
        <v>358</v>
      </c>
      <c r="I4" s="74" t="s">
        <v>185</v>
      </c>
      <c r="J4" s="74" t="s">
        <v>186</v>
      </c>
      <c r="K4" s="74" t="s">
        <v>411</v>
      </c>
      <c r="L4" s="6" t="s">
        <v>4</v>
      </c>
      <c r="M4" s="6" t="s">
        <v>5</v>
      </c>
      <c r="N4" s="6" t="s">
        <v>6</v>
      </c>
      <c r="O4" s="6" t="s">
        <v>154</v>
      </c>
      <c r="P4" s="51" t="s">
        <v>3</v>
      </c>
      <c r="Q4" s="51" t="s">
        <v>156</v>
      </c>
      <c r="R4" s="261" t="s">
        <v>412</v>
      </c>
      <c r="S4" s="5" t="s">
        <v>413</v>
      </c>
      <c r="T4" s="5" t="s">
        <v>414</v>
      </c>
    </row>
    <row r="5" spans="1:20" s="5" customFormat="1" ht="19.5" x14ac:dyDescent="0.35">
      <c r="B5" s="245" t="s">
        <v>7</v>
      </c>
      <c r="C5" s="75"/>
      <c r="D5" s="8"/>
      <c r="E5" s="8"/>
      <c r="F5" s="39"/>
      <c r="G5" s="39"/>
      <c r="H5" s="39"/>
      <c r="I5" s="39"/>
      <c r="J5" s="39"/>
      <c r="K5" s="39"/>
      <c r="L5" s="39"/>
      <c r="M5" s="39"/>
      <c r="N5" s="39"/>
      <c r="O5" s="39"/>
      <c r="P5" s="8"/>
      <c r="Q5" s="51"/>
      <c r="R5" s="261"/>
    </row>
    <row r="6" spans="1:20" ht="48.75" customHeight="1" x14ac:dyDescent="0.35">
      <c r="B6" s="244">
        <v>1</v>
      </c>
      <c r="C6" s="82" t="s">
        <v>8</v>
      </c>
      <c r="D6" s="241">
        <v>1</v>
      </c>
      <c r="E6" s="241" t="s">
        <v>264</v>
      </c>
      <c r="F6" s="80">
        <v>200000000</v>
      </c>
      <c r="G6" s="80">
        <f>[3]Annexures!D5</f>
        <v>353344431</v>
      </c>
      <c r="H6" s="80">
        <f>[3]Annexures!M5</f>
        <v>1</v>
      </c>
      <c r="I6" s="80">
        <v>1800000000</v>
      </c>
      <c r="J6" s="80">
        <f>[3]Annexures!P5</f>
        <v>1482000000</v>
      </c>
      <c r="K6" s="80">
        <v>90000000</v>
      </c>
      <c r="L6" s="127">
        <v>264000</v>
      </c>
      <c r="M6" s="81">
        <f t="shared" ref="M6:M13" si="0">L6*18%</f>
        <v>47520</v>
      </c>
      <c r="N6" s="81">
        <v>20000</v>
      </c>
      <c r="O6" s="81">
        <f>L6+M6+N6</f>
        <v>331520</v>
      </c>
      <c r="P6" s="55" t="s">
        <v>10</v>
      </c>
      <c r="Q6" s="239" t="s">
        <v>9</v>
      </c>
      <c r="R6" s="269">
        <v>90000000</v>
      </c>
      <c r="S6" s="3" t="s">
        <v>415</v>
      </c>
      <c r="T6" s="254" t="s">
        <v>416</v>
      </c>
    </row>
    <row r="7" spans="1:20" ht="58" x14ac:dyDescent="0.35">
      <c r="B7" s="244">
        <v>2</v>
      </c>
      <c r="C7" s="82" t="s">
        <v>11</v>
      </c>
      <c r="D7" s="241">
        <v>1</v>
      </c>
      <c r="E7" s="241" t="s">
        <v>265</v>
      </c>
      <c r="F7" s="80">
        <v>30000000</v>
      </c>
      <c r="G7" s="80">
        <f>[3]Annexures!D10</f>
        <v>91839658.120000005</v>
      </c>
      <c r="H7" s="80">
        <f>[3]Annexures!M10</f>
        <v>2</v>
      </c>
      <c r="I7" s="80">
        <v>72000000</v>
      </c>
      <c r="J7" s="80">
        <f>[3]Annexures!P10</f>
        <v>22008523</v>
      </c>
      <c r="K7" s="80">
        <v>3600000</v>
      </c>
      <c r="L7" s="81">
        <v>39000</v>
      </c>
      <c r="M7" s="81">
        <f t="shared" si="0"/>
        <v>7020</v>
      </c>
      <c r="N7" s="81">
        <v>3000</v>
      </c>
      <c r="O7" s="81">
        <f t="shared" ref="O7:O20" si="1">L7+M7+N7</f>
        <v>49020</v>
      </c>
      <c r="P7" s="55" t="s">
        <v>10</v>
      </c>
      <c r="Q7" s="239" t="s">
        <v>12</v>
      </c>
      <c r="R7" s="269">
        <v>3600000</v>
      </c>
      <c r="S7" s="3" t="s">
        <v>417</v>
      </c>
      <c r="T7" s="270" t="s">
        <v>418</v>
      </c>
    </row>
    <row r="8" spans="1:20" ht="174" x14ac:dyDescent="0.35">
      <c r="B8" s="244">
        <v>3</v>
      </c>
      <c r="C8" s="82" t="s">
        <v>13</v>
      </c>
      <c r="D8" s="241">
        <v>26</v>
      </c>
      <c r="E8" s="241" t="s">
        <v>265</v>
      </c>
      <c r="F8" s="80">
        <v>30000000</v>
      </c>
      <c r="G8" s="80">
        <f>[3]Annexures!D17</f>
        <v>43467197.629999995</v>
      </c>
      <c r="H8" s="80">
        <f>[3]Annexures!M17</f>
        <v>13752551</v>
      </c>
      <c r="I8" s="80">
        <f>[3]Annexures!O17</f>
        <v>81149047</v>
      </c>
      <c r="J8" s="80">
        <f>[3]Annexures!P17</f>
        <v>12250172</v>
      </c>
      <c r="K8" s="80">
        <f>[3]Annexures!Q17</f>
        <v>68898875</v>
      </c>
      <c r="L8" s="81">
        <v>58650</v>
      </c>
      <c r="M8" s="81">
        <f t="shared" si="0"/>
        <v>10557</v>
      </c>
      <c r="N8" s="81">
        <v>3000</v>
      </c>
      <c r="O8" s="81">
        <f t="shared" si="1"/>
        <v>72207</v>
      </c>
      <c r="P8" s="55" t="s">
        <v>10</v>
      </c>
      <c r="Q8" s="239" t="s">
        <v>14</v>
      </c>
      <c r="R8" s="50">
        <v>16000000</v>
      </c>
      <c r="S8" s="254" t="s">
        <v>439</v>
      </c>
      <c r="T8" s="254" t="s">
        <v>419</v>
      </c>
    </row>
    <row r="9" spans="1:20" ht="29" x14ac:dyDescent="0.35">
      <c r="B9" s="244">
        <v>4</v>
      </c>
      <c r="C9" s="82" t="s">
        <v>15</v>
      </c>
      <c r="D9" s="241">
        <v>1</v>
      </c>
      <c r="E9" s="241" t="s">
        <v>266</v>
      </c>
      <c r="F9" s="80">
        <v>1425000</v>
      </c>
      <c r="G9" s="80">
        <f>[3]Annexures!D20</f>
        <v>2827981.4</v>
      </c>
      <c r="H9" s="80">
        <f>[3]Annexures!M20</f>
        <v>1572048.4</v>
      </c>
      <c r="I9" s="80">
        <v>5000000</v>
      </c>
      <c r="J9" s="80">
        <f>[3]Annexures!P20</f>
        <v>0</v>
      </c>
      <c r="K9" s="80">
        <v>1425000</v>
      </c>
      <c r="L9" s="81">
        <v>6163</v>
      </c>
      <c r="M9" s="81">
        <f t="shared" si="0"/>
        <v>1109.3399999999999</v>
      </c>
      <c r="N9" s="81">
        <v>0</v>
      </c>
      <c r="O9" s="81">
        <f t="shared" si="1"/>
        <v>7272.34</v>
      </c>
      <c r="P9" s="55" t="s">
        <v>10</v>
      </c>
      <c r="Q9" s="239" t="s">
        <v>16</v>
      </c>
      <c r="R9" s="50">
        <v>5000000</v>
      </c>
      <c r="S9" s="3" t="s">
        <v>420</v>
      </c>
      <c r="T9" s="254" t="s">
        <v>421</v>
      </c>
    </row>
    <row r="10" spans="1:20" ht="31" x14ac:dyDescent="0.35">
      <c r="B10" s="142">
        <v>5</v>
      </c>
      <c r="C10" s="128" t="s">
        <v>189</v>
      </c>
      <c r="D10" s="143">
        <v>1</v>
      </c>
      <c r="E10" s="143"/>
      <c r="F10" s="144">
        <v>2375000</v>
      </c>
      <c r="G10" s="80"/>
      <c r="H10" s="80"/>
      <c r="I10" s="80"/>
      <c r="J10" s="80"/>
      <c r="K10" s="80"/>
      <c r="L10" s="81">
        <v>1098</v>
      </c>
      <c r="M10" s="81">
        <f t="shared" si="0"/>
        <v>197.64</v>
      </c>
      <c r="N10" s="81">
        <v>0</v>
      </c>
      <c r="O10" s="81">
        <f t="shared" si="1"/>
        <v>1295.6399999999999</v>
      </c>
      <c r="P10" s="55" t="s">
        <v>19</v>
      </c>
      <c r="Q10" s="239" t="s">
        <v>18</v>
      </c>
      <c r="R10" s="50">
        <v>0</v>
      </c>
      <c r="S10" s="3">
        <v>0</v>
      </c>
      <c r="T10" s="254" t="s">
        <v>422</v>
      </c>
    </row>
    <row r="11" spans="1:20" ht="30" customHeight="1" x14ac:dyDescent="0.35">
      <c r="B11" s="244">
        <v>6</v>
      </c>
      <c r="C11" s="82" t="s">
        <v>20</v>
      </c>
      <c r="D11" s="241">
        <v>1</v>
      </c>
      <c r="E11" s="241" t="s">
        <v>265</v>
      </c>
      <c r="F11" s="80">
        <v>2500000</v>
      </c>
      <c r="G11" s="80">
        <f>[3]Annexures!D23</f>
        <v>4202075</v>
      </c>
      <c r="H11" s="80">
        <f>[3]Annexures!M23</f>
        <v>1</v>
      </c>
      <c r="I11" s="80">
        <f>[3]Annexures!O23</f>
        <v>6394462</v>
      </c>
      <c r="J11" s="80">
        <f>[3]Annexures!P23</f>
        <v>647972</v>
      </c>
      <c r="K11" s="80">
        <f>[3]Annexures!Q23</f>
        <v>5746490</v>
      </c>
      <c r="L11" s="81">
        <v>11969</v>
      </c>
      <c r="M11" s="81">
        <f t="shared" si="0"/>
        <v>2154.42</v>
      </c>
      <c r="N11" s="81">
        <v>0</v>
      </c>
      <c r="O11" s="81">
        <f t="shared" si="1"/>
        <v>14123.42</v>
      </c>
      <c r="P11" s="55" t="s">
        <v>10</v>
      </c>
      <c r="Q11" s="239" t="s">
        <v>21</v>
      </c>
      <c r="R11" s="271">
        <v>6394462</v>
      </c>
      <c r="S11" s="3" t="s">
        <v>423</v>
      </c>
      <c r="T11" s="3" t="s">
        <v>424</v>
      </c>
    </row>
    <row r="12" spans="1:20" ht="115.5" customHeight="1" x14ac:dyDescent="0.35">
      <c r="B12" s="244">
        <v>7</v>
      </c>
      <c r="C12" s="82" t="s">
        <v>22</v>
      </c>
      <c r="D12" s="241"/>
      <c r="E12" s="241" t="s">
        <v>267</v>
      </c>
      <c r="F12" s="80">
        <v>23750000</v>
      </c>
      <c r="G12" s="80">
        <f>[3]Annexures!D26</f>
        <v>35340810.340000004</v>
      </c>
      <c r="H12" s="80">
        <f>[3]Annexures!M26</f>
        <v>17629525.16</v>
      </c>
      <c r="I12" s="80">
        <f>[3]Annexures!O26</f>
        <v>41231000</v>
      </c>
      <c r="J12" s="80">
        <f>[3]Annexures!P26</f>
        <v>3916945</v>
      </c>
      <c r="K12" s="80">
        <f>[3]Annexures!Q26</f>
        <v>37314055</v>
      </c>
      <c r="L12" s="81">
        <v>118750</v>
      </c>
      <c r="M12" s="81">
        <f t="shared" si="0"/>
        <v>21375</v>
      </c>
      <c r="N12" s="81">
        <v>0</v>
      </c>
      <c r="O12" s="81">
        <f t="shared" si="1"/>
        <v>140125</v>
      </c>
      <c r="P12" s="55" t="s">
        <v>19</v>
      </c>
      <c r="Q12" s="239" t="s">
        <v>23</v>
      </c>
      <c r="R12" s="269">
        <v>17500000</v>
      </c>
      <c r="S12" s="3" t="s">
        <v>425</v>
      </c>
      <c r="T12" s="254" t="s">
        <v>426</v>
      </c>
    </row>
    <row r="13" spans="1:20" ht="31" x14ac:dyDescent="0.35">
      <c r="B13" s="244">
        <v>8</v>
      </c>
      <c r="C13" s="129" t="s">
        <v>24</v>
      </c>
      <c r="D13" s="130"/>
      <c r="E13" s="241" t="s">
        <v>268</v>
      </c>
      <c r="F13" s="131">
        <v>43400000</v>
      </c>
      <c r="G13" s="131">
        <f>[3]Annexures!D29</f>
        <v>57945859.259999998</v>
      </c>
      <c r="H13" s="131">
        <f>[3]Annexures!M29</f>
        <v>32568951.260000002</v>
      </c>
      <c r="I13" s="131">
        <f>[3]Annexures!O29</f>
        <v>68000000</v>
      </c>
      <c r="J13" s="131">
        <f>[3]Annexures!P29</f>
        <v>14535000</v>
      </c>
      <c r="K13" s="131">
        <f>[3]Annexures!Q29</f>
        <v>53465000</v>
      </c>
      <c r="L13" s="81">
        <v>20073</v>
      </c>
      <c r="M13" s="81">
        <f t="shared" si="0"/>
        <v>3613.14</v>
      </c>
      <c r="N13" s="81"/>
      <c r="O13" s="81">
        <f t="shared" si="1"/>
        <v>23686.14</v>
      </c>
      <c r="P13" s="55" t="s">
        <v>19</v>
      </c>
      <c r="Q13" s="239" t="s">
        <v>25</v>
      </c>
      <c r="R13" s="269">
        <v>43400000</v>
      </c>
      <c r="S13" s="254" t="s">
        <v>427</v>
      </c>
      <c r="T13" s="254" t="s">
        <v>427</v>
      </c>
    </row>
    <row r="14" spans="1:20" ht="15.5" x14ac:dyDescent="0.35">
      <c r="B14" s="132" t="s">
        <v>26</v>
      </c>
      <c r="C14" s="55"/>
      <c r="D14" s="241"/>
      <c r="E14" s="241"/>
      <c r="F14" s="80"/>
      <c r="G14" s="80"/>
      <c r="H14" s="80"/>
      <c r="I14" s="80"/>
      <c r="J14" s="80"/>
      <c r="K14" s="80"/>
      <c r="L14" s="53"/>
      <c r="M14" s="53"/>
      <c r="N14" s="53"/>
      <c r="O14" s="81"/>
      <c r="P14" s="55"/>
      <c r="Q14" s="52"/>
      <c r="R14" s="263"/>
    </row>
    <row r="15" spans="1:20" ht="145" x14ac:dyDescent="0.35">
      <c r="B15" s="244">
        <v>9</v>
      </c>
      <c r="C15" s="82" t="s">
        <v>27</v>
      </c>
      <c r="D15" s="241">
        <v>1</v>
      </c>
      <c r="E15" s="679" t="s">
        <v>264</v>
      </c>
      <c r="F15" s="80">
        <v>7600000</v>
      </c>
      <c r="G15" s="80">
        <f>[3]Annexures!D35</f>
        <v>12254547</v>
      </c>
      <c r="H15" s="80">
        <f>[3]Annexures!M35</f>
        <v>6001448</v>
      </c>
      <c r="I15" s="80">
        <f>[3]Annexures!O35</f>
        <v>13834394</v>
      </c>
      <c r="J15" s="80">
        <f>[3]Annexures!P35</f>
        <v>4380892</v>
      </c>
      <c r="K15" s="80">
        <v>6605923</v>
      </c>
      <c r="L15" s="81">
        <v>38000</v>
      </c>
      <c r="M15" s="81">
        <f>L15*18%</f>
        <v>6840</v>
      </c>
      <c r="N15" s="81">
        <v>760</v>
      </c>
      <c r="O15" s="81">
        <f t="shared" si="1"/>
        <v>45600</v>
      </c>
      <c r="P15" s="55" t="s">
        <v>19</v>
      </c>
      <c r="Q15" s="239" t="s">
        <v>14</v>
      </c>
      <c r="R15" s="269">
        <v>10400000</v>
      </c>
      <c r="S15" s="3" t="s">
        <v>428</v>
      </c>
      <c r="T15" s="254" t="s">
        <v>429</v>
      </c>
    </row>
    <row r="16" spans="1:20" ht="145" x14ac:dyDescent="0.35">
      <c r="B16" s="244">
        <v>10</v>
      </c>
      <c r="C16" s="82" t="s">
        <v>28</v>
      </c>
      <c r="D16" s="241">
        <v>1</v>
      </c>
      <c r="E16" s="680"/>
      <c r="F16" s="80">
        <v>950000</v>
      </c>
      <c r="G16" s="80">
        <f>[3]Annexures!D38</f>
        <v>2577417</v>
      </c>
      <c r="H16" s="80">
        <f>[3]Annexures!M38</f>
        <v>1262283</v>
      </c>
      <c r="I16" s="80">
        <v>2000000</v>
      </c>
      <c r="J16" s="80">
        <f>[3]Annexures!P38</f>
        <v>918333</v>
      </c>
      <c r="K16" s="80">
        <v>1025000</v>
      </c>
      <c r="L16" s="81">
        <v>1425</v>
      </c>
      <c r="M16" s="81">
        <f>L16*18%</f>
        <v>256.5</v>
      </c>
      <c r="N16" s="81">
        <v>95</v>
      </c>
      <c r="O16" s="81">
        <f t="shared" si="1"/>
        <v>1776.5</v>
      </c>
      <c r="P16" s="55" t="s">
        <v>19</v>
      </c>
      <c r="Q16" s="239" t="s">
        <v>9</v>
      </c>
      <c r="R16" s="262">
        <v>2000000</v>
      </c>
      <c r="S16" s="254" t="s">
        <v>430</v>
      </c>
      <c r="T16" s="254" t="s">
        <v>431</v>
      </c>
    </row>
    <row r="17" spans="2:20" ht="15.5" x14ac:dyDescent="0.35">
      <c r="B17" s="132" t="s">
        <v>29</v>
      </c>
      <c r="C17" s="55"/>
      <c r="D17" s="241"/>
      <c r="E17" s="680"/>
      <c r="F17" s="80"/>
      <c r="G17" s="80"/>
      <c r="H17" s="80"/>
      <c r="I17" s="80"/>
      <c r="J17" s="80"/>
      <c r="K17" s="80"/>
      <c r="L17" s="53"/>
      <c r="M17" s="53"/>
      <c r="N17" s="53"/>
      <c r="O17" s="81"/>
      <c r="P17" s="55"/>
      <c r="Q17" s="52"/>
      <c r="R17" s="263"/>
    </row>
    <row r="18" spans="2:20" ht="29" x14ac:dyDescent="0.35">
      <c r="B18" s="244">
        <v>11</v>
      </c>
      <c r="C18" s="82" t="s">
        <v>30</v>
      </c>
      <c r="D18" s="241">
        <v>1</v>
      </c>
      <c r="E18" s="680"/>
      <c r="F18" s="80">
        <v>250000000</v>
      </c>
      <c r="G18" s="80">
        <f>[3]Annexures!D41</f>
        <v>405113094</v>
      </c>
      <c r="H18" s="80">
        <f>[3]Annexures!M41</f>
        <v>205394975</v>
      </c>
      <c r="I18" s="80">
        <f>[3]Annexures!O41</f>
        <v>450000000</v>
      </c>
      <c r="J18" s="80">
        <f>[3]Annexures!P41</f>
        <v>128250000</v>
      </c>
      <c r="K18" s="80">
        <f>I18-210000000</f>
        <v>240000000</v>
      </c>
      <c r="L18" s="81">
        <v>625000</v>
      </c>
      <c r="M18" s="81">
        <f>L18*18%</f>
        <v>112500</v>
      </c>
      <c r="N18" s="81">
        <v>25000</v>
      </c>
      <c r="O18" s="81">
        <f t="shared" si="1"/>
        <v>762500</v>
      </c>
      <c r="P18" s="55" t="s">
        <v>19</v>
      </c>
      <c r="Q18" s="239" t="s">
        <v>31</v>
      </c>
      <c r="R18" s="262">
        <v>240000000</v>
      </c>
      <c r="S18" s="254" t="s">
        <v>440</v>
      </c>
      <c r="T18" s="254" t="s">
        <v>440</v>
      </c>
    </row>
    <row r="19" spans="2:20" ht="29" x14ac:dyDescent="0.35">
      <c r="B19" s="244">
        <v>12</v>
      </c>
      <c r="C19" s="82" t="s">
        <v>32</v>
      </c>
      <c r="D19" s="241">
        <v>1</v>
      </c>
      <c r="E19" s="680"/>
      <c r="F19" s="80">
        <v>250000000</v>
      </c>
      <c r="G19" s="80">
        <f>[3]Annexures!D44</f>
        <v>405113094.41000003</v>
      </c>
      <c r="H19" s="80">
        <f>[3]Annexures!M44</f>
        <v>210773714</v>
      </c>
      <c r="I19" s="80">
        <f>[3]Annexures!O44</f>
        <v>450000000</v>
      </c>
      <c r="J19" s="80">
        <f>[3]Annexures!P44</f>
        <v>128250000</v>
      </c>
      <c r="K19" s="80">
        <f>[3]Annexures!Q44</f>
        <v>321750000</v>
      </c>
      <c r="L19" s="81">
        <f>'[2]Asset wise break up'!G127</f>
        <v>625000</v>
      </c>
      <c r="M19" s="81">
        <f>L19*18%</f>
        <v>112500</v>
      </c>
      <c r="N19" s="81">
        <v>25000</v>
      </c>
      <c r="O19" s="81">
        <f t="shared" si="1"/>
        <v>762500</v>
      </c>
      <c r="P19" s="55" t="s">
        <v>19</v>
      </c>
      <c r="Q19" s="239" t="s">
        <v>31</v>
      </c>
      <c r="R19" s="262">
        <v>240000000</v>
      </c>
      <c r="S19" s="254" t="s">
        <v>440</v>
      </c>
      <c r="T19" s="254" t="s">
        <v>440</v>
      </c>
    </row>
    <row r="20" spans="2:20" ht="15.5" x14ac:dyDescent="0.35">
      <c r="B20" s="244">
        <v>13</v>
      </c>
      <c r="C20" s="82" t="s">
        <v>33</v>
      </c>
      <c r="D20" s="241">
        <v>1</v>
      </c>
      <c r="E20" s="681"/>
      <c r="F20" s="216">
        <v>30000000</v>
      </c>
      <c r="G20" s="216">
        <f>[3]Annexures!D47</f>
        <v>146364554</v>
      </c>
      <c r="H20" s="216">
        <f>[3]Annexures!M47</f>
        <v>1</v>
      </c>
      <c r="I20" s="216">
        <f>[3]Annexures!O47</f>
        <v>20000000</v>
      </c>
      <c r="J20" s="216">
        <f>[3]Annexures!P47</f>
        <v>13300000</v>
      </c>
      <c r="K20" s="216">
        <f>[3]Annexures!Q47</f>
        <v>6700000</v>
      </c>
      <c r="L20" s="81">
        <f>'[2]Asset wise break up'!G138</f>
        <v>75000</v>
      </c>
      <c r="M20" s="81">
        <f>L20*18%</f>
        <v>13500</v>
      </c>
      <c r="N20" s="81">
        <v>3000</v>
      </c>
      <c r="O20" s="81">
        <f t="shared" si="1"/>
        <v>91500</v>
      </c>
      <c r="P20" s="55" t="s">
        <v>19</v>
      </c>
      <c r="Q20" s="239" t="s">
        <v>31</v>
      </c>
      <c r="R20" s="272">
        <v>0</v>
      </c>
      <c r="S20" s="42" t="s">
        <v>361</v>
      </c>
    </row>
    <row r="21" spans="2:20" ht="15.5" x14ac:dyDescent="0.35">
      <c r="B21" s="244"/>
      <c r="C21" s="6" t="s">
        <v>150</v>
      </c>
      <c r="D21" s="244"/>
      <c r="E21" s="244"/>
      <c r="F21" s="58">
        <f>SUM(F5:F20)</f>
        <v>872000000</v>
      </c>
      <c r="G21" s="58">
        <f t="shared" ref="G21:Q21" si="2">SUM(G5:G20)</f>
        <v>1560390719.1600001</v>
      </c>
      <c r="H21" s="58">
        <f t="shared" si="2"/>
        <v>488955500.81999999</v>
      </c>
      <c r="I21" s="58">
        <f t="shared" si="2"/>
        <v>3009608903</v>
      </c>
      <c r="J21" s="58">
        <f t="shared" si="2"/>
        <v>1810457837</v>
      </c>
      <c r="K21" s="58">
        <f t="shared" si="2"/>
        <v>836530343</v>
      </c>
      <c r="L21" s="58">
        <f t="shared" si="2"/>
        <v>1884128</v>
      </c>
      <c r="M21" s="58">
        <f t="shared" si="2"/>
        <v>339143.04</v>
      </c>
      <c r="N21" s="58">
        <f t="shared" si="2"/>
        <v>79855</v>
      </c>
      <c r="O21" s="58">
        <f t="shared" si="2"/>
        <v>2303126.04</v>
      </c>
      <c r="P21" s="58">
        <f t="shared" si="2"/>
        <v>0</v>
      </c>
      <c r="Q21" s="58">
        <f t="shared" si="2"/>
        <v>0</v>
      </c>
      <c r="R21" s="273">
        <f>SUM(R6:R20)</f>
        <v>674294462</v>
      </c>
    </row>
    <row r="22" spans="2:20" x14ac:dyDescent="0.35">
      <c r="B22" s="1">
        <v>14</v>
      </c>
      <c r="C22" s="55" t="s">
        <v>102</v>
      </c>
      <c r="F22" s="80">
        <v>170000000</v>
      </c>
      <c r="G22" s="80">
        <v>139456732</v>
      </c>
      <c r="H22" s="37">
        <v>102643976</v>
      </c>
      <c r="I22" s="37">
        <v>180000000</v>
      </c>
      <c r="J22" s="37">
        <v>51300000</v>
      </c>
      <c r="K22" s="37">
        <v>128700000</v>
      </c>
      <c r="R22" s="3">
        <v>180000000</v>
      </c>
      <c r="S22" s="3" t="s">
        <v>432</v>
      </c>
      <c r="T22" s="3" t="s">
        <v>433</v>
      </c>
    </row>
    <row r="24" spans="2:20" ht="75" customHeight="1" x14ac:dyDescent="0.35">
      <c r="C24" s="682" t="s">
        <v>364</v>
      </c>
      <c r="D24" s="682"/>
      <c r="E24" s="682"/>
      <c r="F24" s="682"/>
      <c r="G24" s="682"/>
      <c r="H24" s="682"/>
      <c r="I24" s="682"/>
      <c r="J24" s="682"/>
      <c r="K24" s="682"/>
    </row>
    <row r="25" spans="2:20" ht="43.5" customHeight="1" x14ac:dyDescent="0.35">
      <c r="C25" s="682" t="s">
        <v>365</v>
      </c>
      <c r="D25" s="682"/>
      <c r="E25" s="682"/>
      <c r="F25" s="682"/>
      <c r="G25" s="682"/>
      <c r="H25" s="682"/>
      <c r="I25" s="682"/>
      <c r="J25" s="682"/>
      <c r="K25" s="682"/>
    </row>
    <row r="27" spans="2:20" ht="47.25" customHeight="1" x14ac:dyDescent="0.35">
      <c r="C27" s="683" t="s">
        <v>366</v>
      </c>
      <c r="D27" s="683"/>
      <c r="E27" s="683"/>
      <c r="F27" s="683"/>
      <c r="G27" s="683"/>
      <c r="H27" s="683"/>
      <c r="I27" s="683"/>
      <c r="J27" s="683"/>
      <c r="K27" s="683"/>
      <c r="L27" s="76"/>
      <c r="N27" s="35"/>
    </row>
    <row r="28" spans="2:20" ht="15.5" x14ac:dyDescent="0.35">
      <c r="C28" s="76"/>
      <c r="D28" s="77"/>
      <c r="E28" s="77"/>
      <c r="F28" s="76"/>
      <c r="G28" s="76"/>
      <c r="H28" s="76"/>
      <c r="I28" s="76"/>
      <c r="J28" s="76"/>
      <c r="K28" s="76"/>
      <c r="L28" s="76"/>
      <c r="N28" s="35"/>
    </row>
    <row r="29" spans="2:20" ht="15.5" x14ac:dyDescent="0.35">
      <c r="C29" s="76"/>
      <c r="D29" s="77"/>
      <c r="E29" s="77"/>
      <c r="F29" s="76"/>
      <c r="G29" s="76"/>
      <c r="H29" s="76"/>
      <c r="I29" s="76"/>
      <c r="J29" s="76"/>
      <c r="K29" s="76"/>
      <c r="L29" s="76"/>
      <c r="N29" s="35"/>
    </row>
    <row r="30" spans="2:20" ht="15.5" x14ac:dyDescent="0.35">
      <c r="C30" s="76"/>
      <c r="D30" s="76"/>
      <c r="E30" s="76"/>
      <c r="F30" s="76"/>
      <c r="G30" s="76"/>
      <c r="H30" s="76"/>
      <c r="I30" s="76"/>
      <c r="J30" s="76"/>
      <c r="K30" s="76"/>
      <c r="L30" s="76"/>
      <c r="N30" s="35"/>
    </row>
    <row r="32" spans="2:20" x14ac:dyDescent="0.35">
      <c r="D32" s="2"/>
      <c r="E32" s="2"/>
      <c r="F32" s="50"/>
      <c r="G32" s="50"/>
      <c r="H32" s="50"/>
      <c r="I32" s="50"/>
      <c r="J32" s="50"/>
      <c r="K32" s="50"/>
      <c r="L32" s="50"/>
    </row>
  </sheetData>
  <mergeCells count="10">
    <mergeCell ref="E15:E20"/>
    <mergeCell ref="C24:K24"/>
    <mergeCell ref="C25:K25"/>
    <mergeCell ref="C27:K27"/>
    <mergeCell ref="B2:Q2"/>
    <mergeCell ref="B3:B4"/>
    <mergeCell ref="C3:C4"/>
    <mergeCell ref="D3:D4"/>
    <mergeCell ref="G3:H3"/>
    <mergeCell ref="I3:K3"/>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4"/>
  <sheetViews>
    <sheetView topLeftCell="D34" zoomScale="93" zoomScaleNormal="93" workbookViewId="0">
      <selection activeCell="K50" sqref="K50"/>
    </sheetView>
  </sheetViews>
  <sheetFormatPr defaultColWidth="9.1796875" defaultRowHeight="14.5" x14ac:dyDescent="0.35"/>
  <cols>
    <col min="1" max="1" width="3.54296875" style="3" customWidth="1"/>
    <col min="2" max="2" width="5.1796875" style="1" customWidth="1"/>
    <col min="3" max="3" width="45.7265625" style="2" customWidth="1"/>
    <col min="4" max="4" width="10.54296875" style="1" customWidth="1"/>
    <col min="5" max="5" width="13.26953125" style="1" customWidth="1"/>
    <col min="6" max="8" width="18.26953125" style="37" customWidth="1"/>
    <col min="9" max="9" width="16.81640625" style="37" customWidth="1"/>
    <col min="10" max="12" width="18.26953125" style="37" customWidth="1"/>
    <col min="13" max="13" width="15.1796875" style="37" hidden="1" customWidth="1"/>
    <col min="14" max="14" width="12.54296875" style="37" hidden="1" customWidth="1"/>
    <col min="15" max="15" width="12.81640625" style="37" hidden="1" customWidth="1"/>
    <col min="16" max="16" width="15.26953125" style="37" hidden="1" customWidth="1"/>
    <col min="17" max="17" width="23.7265625" style="3" hidden="1" customWidth="1"/>
    <col min="18" max="18" width="52" style="2" hidden="1" customWidth="1"/>
    <col min="19" max="19" width="33.7265625" style="3" customWidth="1"/>
    <col min="20" max="16384" width="9.1796875" style="3"/>
  </cols>
  <sheetData>
    <row r="1" spans="1:19" x14ac:dyDescent="0.35">
      <c r="A1" s="3" t="s">
        <v>153</v>
      </c>
      <c r="F1" s="36"/>
      <c r="G1" s="36"/>
      <c r="H1" s="36"/>
      <c r="I1" s="36"/>
      <c r="J1" s="36"/>
      <c r="K1" s="36"/>
      <c r="L1" s="36"/>
    </row>
    <row r="2" spans="1:19" ht="17" x14ac:dyDescent="0.35">
      <c r="B2" s="640" t="s">
        <v>157</v>
      </c>
      <c r="C2" s="640"/>
      <c r="D2" s="640"/>
      <c r="E2" s="640"/>
      <c r="F2" s="640"/>
      <c r="G2" s="640"/>
      <c r="H2" s="640"/>
      <c r="I2" s="640"/>
      <c r="J2" s="640"/>
      <c r="K2" s="640"/>
      <c r="L2" s="640"/>
      <c r="M2" s="640"/>
      <c r="N2" s="640"/>
      <c r="O2" s="640"/>
      <c r="P2" s="640"/>
      <c r="Q2" s="640"/>
      <c r="R2" s="640"/>
    </row>
    <row r="3" spans="1:19" ht="43.5" x14ac:dyDescent="0.35">
      <c r="B3" s="4"/>
      <c r="C3" s="4"/>
      <c r="E3" s="79" t="s">
        <v>363</v>
      </c>
      <c r="F3" s="217" t="s">
        <v>362</v>
      </c>
      <c r="G3" s="686" t="s">
        <v>360</v>
      </c>
      <c r="H3" s="686"/>
      <c r="I3" s="244"/>
      <c r="J3" s="686" t="s">
        <v>359</v>
      </c>
      <c r="K3" s="686"/>
      <c r="L3" s="686"/>
    </row>
    <row r="4" spans="1:19" s="5" customFormat="1" ht="36" customHeight="1" x14ac:dyDescent="0.35">
      <c r="B4" s="51" t="s">
        <v>0</v>
      </c>
      <c r="C4" s="6" t="s">
        <v>1</v>
      </c>
      <c r="D4" s="6" t="s">
        <v>2</v>
      </c>
      <c r="E4" s="6" t="s">
        <v>269</v>
      </c>
      <c r="F4" s="51" t="s">
        <v>155</v>
      </c>
      <c r="G4" s="74" t="s">
        <v>357</v>
      </c>
      <c r="H4" s="74" t="s">
        <v>358</v>
      </c>
      <c r="I4" s="74" t="s">
        <v>435</v>
      </c>
      <c r="J4" s="74" t="s">
        <v>185</v>
      </c>
      <c r="K4" s="74" t="s">
        <v>186</v>
      </c>
      <c r="L4" s="74" t="s">
        <v>187</v>
      </c>
      <c r="M4" s="6" t="s">
        <v>4</v>
      </c>
      <c r="N4" s="6" t="s">
        <v>5</v>
      </c>
      <c r="O4" s="6" t="s">
        <v>6</v>
      </c>
      <c r="P4" s="6" t="s">
        <v>154</v>
      </c>
      <c r="Q4" s="51" t="s">
        <v>3</v>
      </c>
      <c r="R4" s="51" t="s">
        <v>156</v>
      </c>
    </row>
    <row r="5" spans="1:19" ht="19.5" x14ac:dyDescent="0.35">
      <c r="B5" s="687" t="s">
        <v>104</v>
      </c>
      <c r="C5" s="688"/>
      <c r="D5" s="688"/>
      <c r="E5" s="688"/>
      <c r="F5" s="688"/>
      <c r="G5" s="688"/>
      <c r="H5" s="688"/>
      <c r="I5" s="688"/>
      <c r="J5" s="688"/>
      <c r="K5" s="688"/>
      <c r="L5" s="689"/>
      <c r="M5" s="53"/>
      <c r="N5" s="53"/>
      <c r="O5" s="53"/>
      <c r="P5" s="81"/>
      <c r="Q5" s="55"/>
      <c r="R5" s="52"/>
      <c r="S5" s="42"/>
    </row>
    <row r="6" spans="1:19" ht="15.5" x14ac:dyDescent="0.35">
      <c r="B6" s="132" t="s">
        <v>105</v>
      </c>
      <c r="C6" s="32"/>
      <c r="D6" s="79"/>
      <c r="E6" s="79"/>
      <c r="F6" s="236"/>
      <c r="G6" s="236"/>
      <c r="H6" s="80"/>
      <c r="I6" s="80"/>
      <c r="J6" s="236"/>
      <c r="K6" s="80"/>
      <c r="L6" s="236"/>
      <c r="M6" s="53"/>
      <c r="N6" s="53"/>
      <c r="O6" s="53"/>
      <c r="P6" s="81"/>
      <c r="Q6" s="55"/>
      <c r="R6" s="52"/>
      <c r="S6" s="42"/>
    </row>
    <row r="7" spans="1:19" ht="15.5" x14ac:dyDescent="0.35">
      <c r="B7" s="244">
        <v>1</v>
      </c>
      <c r="C7" s="82" t="s">
        <v>106</v>
      </c>
      <c r="D7" s="241">
        <v>3</v>
      </c>
      <c r="E7" s="241"/>
      <c r="F7" s="80">
        <f>977800+1955600</f>
        <v>2933400</v>
      </c>
      <c r="G7" s="80">
        <f>[1]Sheet2!$F$8</f>
        <v>2933600.0100000002</v>
      </c>
      <c r="H7" s="80"/>
      <c r="I7" s="80">
        <f>[1]Sheet2!$D$8</f>
        <v>2008</v>
      </c>
      <c r="J7" s="80">
        <f>1280000*3</f>
        <v>3840000</v>
      </c>
      <c r="K7" s="80">
        <f t="shared" ref="K7:K14" si="0">J7*0.95</f>
        <v>3648000</v>
      </c>
      <c r="L7" s="80">
        <f t="shared" ref="L7:L19" si="1">J7-K7</f>
        <v>192000</v>
      </c>
      <c r="M7" s="81">
        <v>11147</v>
      </c>
      <c r="N7" s="81">
        <f t="shared" ref="N7:N19" si="2">M7*18%</f>
        <v>2006.46</v>
      </c>
      <c r="O7" s="135">
        <v>0</v>
      </c>
      <c r="P7" s="81">
        <f t="shared" ref="P7:P49" si="3">M7+N7+O7</f>
        <v>13153.46</v>
      </c>
      <c r="Q7" s="55" t="s">
        <v>44</v>
      </c>
      <c r="R7" s="239" t="s">
        <v>107</v>
      </c>
      <c r="S7" s="42"/>
    </row>
    <row r="8" spans="1:19" ht="31" x14ac:dyDescent="0.35">
      <c r="B8" s="244">
        <v>2</v>
      </c>
      <c r="C8" s="82" t="s">
        <v>108</v>
      </c>
      <c r="D8" s="241">
        <v>1</v>
      </c>
      <c r="E8" s="241"/>
      <c r="F8" s="80">
        <v>615000</v>
      </c>
      <c r="G8" s="80">
        <f>[1]Sheet2!$F$6</f>
        <v>615000</v>
      </c>
      <c r="H8" s="80"/>
      <c r="I8" s="80">
        <f>[1]Sheet2!$D$6</f>
        <v>2008</v>
      </c>
      <c r="J8" s="80">
        <v>768000</v>
      </c>
      <c r="K8" s="80">
        <f t="shared" si="0"/>
        <v>729600</v>
      </c>
      <c r="L8" s="80">
        <f t="shared" si="1"/>
        <v>38400</v>
      </c>
      <c r="M8" s="81">
        <v>3075</v>
      </c>
      <c r="N8" s="81">
        <f t="shared" si="2"/>
        <v>553.5</v>
      </c>
      <c r="O8" s="81">
        <v>0</v>
      </c>
      <c r="P8" s="81">
        <f t="shared" si="3"/>
        <v>3628.5</v>
      </c>
      <c r="Q8" s="55" t="s">
        <v>79</v>
      </c>
      <c r="R8" s="239" t="s">
        <v>107</v>
      </c>
      <c r="S8" s="42"/>
    </row>
    <row r="9" spans="1:19" ht="15.5" x14ac:dyDescent="0.35">
      <c r="B9" s="244">
        <v>3</v>
      </c>
      <c r="C9" s="82" t="s">
        <v>109</v>
      </c>
      <c r="D9" s="241">
        <v>1</v>
      </c>
      <c r="E9" s="241"/>
      <c r="F9" s="80">
        <v>626000</v>
      </c>
      <c r="G9" s="80">
        <f>[1]Sheet2!$F$7</f>
        <v>626200</v>
      </c>
      <c r="H9" s="80"/>
      <c r="I9" s="80">
        <f>[1]Sheet2!$D$7</f>
        <v>2008</v>
      </c>
      <c r="J9" s="80">
        <v>768000</v>
      </c>
      <c r="K9" s="80">
        <f t="shared" si="0"/>
        <v>729600</v>
      </c>
      <c r="L9" s="80">
        <f t="shared" si="1"/>
        <v>38400</v>
      </c>
      <c r="M9" s="81">
        <v>3130</v>
      </c>
      <c r="N9" s="81">
        <f t="shared" si="2"/>
        <v>563.4</v>
      </c>
      <c r="O9" s="81">
        <v>0</v>
      </c>
      <c r="P9" s="81">
        <f t="shared" si="3"/>
        <v>3693.4</v>
      </c>
      <c r="Q9" s="55" t="s">
        <v>79</v>
      </c>
      <c r="R9" s="239" t="s">
        <v>107</v>
      </c>
      <c r="S9" s="42"/>
    </row>
    <row r="10" spans="1:19" ht="15.5" x14ac:dyDescent="0.35">
      <c r="B10" s="244">
        <v>4</v>
      </c>
      <c r="C10" s="82" t="s">
        <v>110</v>
      </c>
      <c r="D10" s="241">
        <v>1</v>
      </c>
      <c r="E10" s="241"/>
      <c r="F10" s="80">
        <v>1080542</v>
      </c>
      <c r="G10" s="80">
        <f>[1]Sheet2!$F$5</f>
        <v>1080542</v>
      </c>
      <c r="H10" s="80"/>
      <c r="I10" s="80">
        <f>[1]Sheet2!$D$5</f>
        <v>2008</v>
      </c>
      <c r="J10" s="80">
        <v>1800000</v>
      </c>
      <c r="K10" s="80">
        <f t="shared" si="0"/>
        <v>1710000</v>
      </c>
      <c r="L10" s="80">
        <f t="shared" si="1"/>
        <v>90000</v>
      </c>
      <c r="M10" s="81">
        <v>5403</v>
      </c>
      <c r="N10" s="81">
        <f t="shared" si="2"/>
        <v>972.54</v>
      </c>
      <c r="O10" s="81">
        <v>0</v>
      </c>
      <c r="P10" s="81">
        <f t="shared" si="3"/>
        <v>6375.54</v>
      </c>
      <c r="Q10" s="55" t="s">
        <v>79</v>
      </c>
      <c r="R10" s="239" t="s">
        <v>107</v>
      </c>
      <c r="S10" s="42"/>
    </row>
    <row r="11" spans="1:19" ht="15.5" x14ac:dyDescent="0.35">
      <c r="B11" s="244">
        <v>5</v>
      </c>
      <c r="C11" s="82" t="s">
        <v>111</v>
      </c>
      <c r="D11" s="274">
        <v>4</v>
      </c>
      <c r="E11" s="274"/>
      <c r="F11" s="80">
        <f>930000+2790000</f>
        <v>3720000</v>
      </c>
      <c r="G11" s="80">
        <f>[1]Sheet2!$F$4</f>
        <v>3722171</v>
      </c>
      <c r="H11" s="216"/>
      <c r="I11" s="80">
        <f>[1]Sheet2!$D$5</f>
        <v>2008</v>
      </c>
      <c r="J11" s="80">
        <f>1800000*0.75*D11</f>
        <v>5400000</v>
      </c>
      <c r="K11" s="80">
        <f t="shared" si="0"/>
        <v>5130000</v>
      </c>
      <c r="L11" s="80">
        <f t="shared" si="1"/>
        <v>270000</v>
      </c>
      <c r="M11" s="81">
        <v>10602</v>
      </c>
      <c r="N11" s="81">
        <f t="shared" si="2"/>
        <v>1908.36</v>
      </c>
      <c r="O11" s="135">
        <v>0</v>
      </c>
      <c r="P11" s="81">
        <f t="shared" si="3"/>
        <v>12510.36</v>
      </c>
      <c r="Q11" s="55" t="s">
        <v>44</v>
      </c>
      <c r="R11" s="239" t="s">
        <v>107</v>
      </c>
      <c r="S11" s="42"/>
    </row>
    <row r="12" spans="1:19" ht="31" x14ac:dyDescent="0.35">
      <c r="B12" s="244">
        <v>6</v>
      </c>
      <c r="C12" s="82" t="s">
        <v>112</v>
      </c>
      <c r="D12" s="241">
        <v>1</v>
      </c>
      <c r="E12" s="241"/>
      <c r="F12" s="80">
        <v>1862000</v>
      </c>
      <c r="G12" s="80">
        <f>[1]Sheet2!$F$9</f>
        <v>1862000</v>
      </c>
      <c r="H12" s="216"/>
      <c r="I12" s="80">
        <f>[1]Sheet2!$D$9</f>
        <v>2008</v>
      </c>
      <c r="J12" s="80">
        <v>2380000</v>
      </c>
      <c r="K12" s="80">
        <f t="shared" si="0"/>
        <v>2261000</v>
      </c>
      <c r="L12" s="80">
        <f t="shared" si="1"/>
        <v>119000</v>
      </c>
      <c r="M12" s="81">
        <v>9310</v>
      </c>
      <c r="N12" s="81">
        <f t="shared" si="2"/>
        <v>1675.8</v>
      </c>
      <c r="O12" s="81">
        <v>0</v>
      </c>
      <c r="P12" s="81">
        <f t="shared" si="3"/>
        <v>10985.8</v>
      </c>
      <c r="Q12" s="55" t="s">
        <v>79</v>
      </c>
      <c r="R12" s="239" t="s">
        <v>107</v>
      </c>
      <c r="S12" s="42"/>
    </row>
    <row r="13" spans="1:19" ht="15.5" x14ac:dyDescent="0.35">
      <c r="B13" s="244">
        <v>7</v>
      </c>
      <c r="C13" s="32" t="s">
        <v>113</v>
      </c>
      <c r="D13" s="79">
        <v>1</v>
      </c>
      <c r="E13" s="79"/>
      <c r="F13" s="80">
        <v>652000</v>
      </c>
      <c r="G13" s="80">
        <f>[1]Sheet2!$F$10</f>
        <v>652000</v>
      </c>
      <c r="H13" s="216"/>
      <c r="I13" s="80">
        <f>[1]Sheet2!$D$10</f>
        <v>2008</v>
      </c>
      <c r="J13" s="80">
        <v>840000</v>
      </c>
      <c r="K13" s="80">
        <f t="shared" si="0"/>
        <v>798000</v>
      </c>
      <c r="L13" s="80">
        <f t="shared" si="1"/>
        <v>42000</v>
      </c>
      <c r="M13" s="81">
        <v>3260</v>
      </c>
      <c r="N13" s="81">
        <f t="shared" si="2"/>
        <v>586.79999999999995</v>
      </c>
      <c r="O13" s="81">
        <v>0</v>
      </c>
      <c r="P13" s="81">
        <f t="shared" si="3"/>
        <v>3846.8</v>
      </c>
      <c r="Q13" s="55" t="s">
        <v>79</v>
      </c>
      <c r="R13" s="239" t="s">
        <v>107</v>
      </c>
      <c r="S13" s="42"/>
    </row>
    <row r="14" spans="1:19" ht="15.5" x14ac:dyDescent="0.35">
      <c r="B14" s="244">
        <v>8</v>
      </c>
      <c r="C14" s="32" t="s">
        <v>114</v>
      </c>
      <c r="D14" s="79">
        <v>2</v>
      </c>
      <c r="E14" s="275"/>
      <c r="F14" s="80">
        <v>255000</v>
      </c>
      <c r="G14" s="80">
        <f>[1]Sheet2!$F$11</f>
        <v>255666</v>
      </c>
      <c r="H14" s="276"/>
      <c r="I14" s="80">
        <f>[1]Sheet2!$D$10</f>
        <v>2008</v>
      </c>
      <c r="J14" s="80">
        <f>175000*D14</f>
        <v>350000</v>
      </c>
      <c r="K14" s="80">
        <f t="shared" si="0"/>
        <v>332500</v>
      </c>
      <c r="L14" s="80">
        <f t="shared" si="1"/>
        <v>17500</v>
      </c>
      <c r="M14" s="81">
        <v>1275</v>
      </c>
      <c r="N14" s="81">
        <f t="shared" si="2"/>
        <v>229.5</v>
      </c>
      <c r="O14" s="81">
        <v>0</v>
      </c>
      <c r="P14" s="81">
        <f t="shared" si="3"/>
        <v>1504.5</v>
      </c>
      <c r="Q14" s="55" t="s">
        <v>79</v>
      </c>
      <c r="R14" s="239" t="s">
        <v>107</v>
      </c>
      <c r="S14" s="42"/>
    </row>
    <row r="15" spans="1:19" ht="15.5" x14ac:dyDescent="0.35">
      <c r="B15" s="244">
        <v>9</v>
      </c>
      <c r="C15" s="32" t="s">
        <v>115</v>
      </c>
      <c r="D15" s="79">
        <v>1</v>
      </c>
      <c r="E15" s="79"/>
      <c r="F15" s="80">
        <v>500000</v>
      </c>
      <c r="G15" s="80">
        <f>[1]Sheet2!$F$12</f>
        <v>500000</v>
      </c>
      <c r="H15" s="276"/>
      <c r="I15" s="80">
        <f>[1]Sheet2!$D$12</f>
        <v>2015</v>
      </c>
      <c r="J15" s="80">
        <v>795000</v>
      </c>
      <c r="K15" s="80">
        <f>J15*0.95*4/5</f>
        <v>604200</v>
      </c>
      <c r="L15" s="80">
        <f t="shared" si="1"/>
        <v>190800</v>
      </c>
      <c r="M15" s="81">
        <v>2500</v>
      </c>
      <c r="N15" s="81">
        <f t="shared" si="2"/>
        <v>450</v>
      </c>
      <c r="O15" s="81">
        <v>0</v>
      </c>
      <c r="P15" s="81">
        <f t="shared" si="3"/>
        <v>2950</v>
      </c>
      <c r="Q15" s="55" t="s">
        <v>79</v>
      </c>
      <c r="R15" s="239" t="s">
        <v>107</v>
      </c>
      <c r="S15" s="42"/>
    </row>
    <row r="16" spans="1:19" ht="15.5" x14ac:dyDescent="0.35">
      <c r="B16" s="244">
        <v>10</v>
      </c>
      <c r="C16" s="32" t="s">
        <v>116</v>
      </c>
      <c r="D16" s="79">
        <v>1</v>
      </c>
      <c r="E16" s="79"/>
      <c r="F16" s="80">
        <v>175000</v>
      </c>
      <c r="G16" s="80">
        <f>[1]Sheet2!$F$13</f>
        <v>174761.9</v>
      </c>
      <c r="H16" s="276"/>
      <c r="I16" s="80">
        <f>[1]Sheet2!$D$13</f>
        <v>2013</v>
      </c>
      <c r="J16" s="80">
        <v>250000</v>
      </c>
      <c r="K16" s="80">
        <f>J16*0.95</f>
        <v>237500</v>
      </c>
      <c r="L16" s="80">
        <f t="shared" si="1"/>
        <v>12500</v>
      </c>
      <c r="M16" s="81">
        <v>875</v>
      </c>
      <c r="N16" s="81">
        <f t="shared" si="2"/>
        <v>157.5</v>
      </c>
      <c r="O16" s="81">
        <v>0</v>
      </c>
      <c r="P16" s="81">
        <f t="shared" si="3"/>
        <v>1032.5</v>
      </c>
      <c r="Q16" s="55" t="s">
        <v>79</v>
      </c>
      <c r="R16" s="239" t="s">
        <v>107</v>
      </c>
      <c r="S16" s="42"/>
    </row>
    <row r="17" spans="2:19" ht="15.5" x14ac:dyDescent="0.35">
      <c r="B17" s="244">
        <v>11</v>
      </c>
      <c r="C17" s="32" t="s">
        <v>117</v>
      </c>
      <c r="D17" s="79">
        <v>1</v>
      </c>
      <c r="E17" s="79"/>
      <c r="F17" s="80">
        <v>461000</v>
      </c>
      <c r="G17" s="80">
        <f>[1]Sheet2!$F$14</f>
        <v>461464.82</v>
      </c>
      <c r="H17" s="276"/>
      <c r="I17" s="80">
        <f>[1]Sheet2!$D$14</f>
        <v>2016</v>
      </c>
      <c r="J17" s="80">
        <v>625000</v>
      </c>
      <c r="K17" s="80">
        <f>J17*0.95*3/5</f>
        <v>356250</v>
      </c>
      <c r="L17" s="80">
        <f t="shared" si="1"/>
        <v>268750</v>
      </c>
      <c r="M17" s="81">
        <v>2305</v>
      </c>
      <c r="N17" s="81">
        <f t="shared" si="2"/>
        <v>414.9</v>
      </c>
      <c r="O17" s="81">
        <v>0</v>
      </c>
      <c r="P17" s="81">
        <f t="shared" si="3"/>
        <v>2719.9</v>
      </c>
      <c r="Q17" s="55" t="s">
        <v>79</v>
      </c>
      <c r="R17" s="239" t="s">
        <v>107</v>
      </c>
      <c r="S17" s="42"/>
    </row>
    <row r="18" spans="2:19" ht="15.5" x14ac:dyDescent="0.35">
      <c r="B18" s="244">
        <v>12</v>
      </c>
      <c r="C18" s="32" t="s">
        <v>118</v>
      </c>
      <c r="D18" s="79">
        <v>1</v>
      </c>
      <c r="E18" s="79"/>
      <c r="F18" s="80">
        <v>1450000</v>
      </c>
      <c r="G18" s="80">
        <f>[1]Sheet2!$F$15</f>
        <v>1450000</v>
      </c>
      <c r="H18" s="276"/>
      <c r="I18" s="80">
        <f>[1]Sheet2!$D$15</f>
        <v>2015</v>
      </c>
      <c r="J18" s="80">
        <v>1500000</v>
      </c>
      <c r="K18" s="80">
        <f>J18*0.95*4/5</f>
        <v>1140000</v>
      </c>
      <c r="L18" s="80">
        <f t="shared" si="1"/>
        <v>360000</v>
      </c>
      <c r="M18" s="81">
        <v>7250</v>
      </c>
      <c r="N18" s="81">
        <f t="shared" si="2"/>
        <v>1305</v>
      </c>
      <c r="O18" s="81">
        <v>0</v>
      </c>
      <c r="P18" s="81">
        <f t="shared" si="3"/>
        <v>8555</v>
      </c>
      <c r="Q18" s="55" t="s">
        <v>79</v>
      </c>
      <c r="R18" s="239" t="s">
        <v>107</v>
      </c>
      <c r="S18" s="42"/>
    </row>
    <row r="19" spans="2:19" ht="15.5" x14ac:dyDescent="0.35">
      <c r="B19" s="244">
        <v>13</v>
      </c>
      <c r="C19" s="32" t="s">
        <v>119</v>
      </c>
      <c r="D19" s="79">
        <v>1</v>
      </c>
      <c r="E19" s="79"/>
      <c r="F19" s="80">
        <v>293810</v>
      </c>
      <c r="G19" s="80">
        <f>[1]Sheet2!$F$16</f>
        <v>293810</v>
      </c>
      <c r="H19" s="276"/>
      <c r="I19" s="80">
        <f>[1]Sheet2!$D$16</f>
        <v>2016</v>
      </c>
      <c r="J19" s="80">
        <v>350000</v>
      </c>
      <c r="K19" s="80">
        <f>J19*0.95*3/5</f>
        <v>199500</v>
      </c>
      <c r="L19" s="80">
        <f t="shared" si="1"/>
        <v>150500</v>
      </c>
      <c r="M19" s="81">
        <v>1469</v>
      </c>
      <c r="N19" s="81">
        <f t="shared" si="2"/>
        <v>264.42</v>
      </c>
      <c r="O19" s="81">
        <v>0</v>
      </c>
      <c r="P19" s="81">
        <f t="shared" si="3"/>
        <v>1733.42</v>
      </c>
      <c r="Q19" s="55" t="s">
        <v>79</v>
      </c>
      <c r="R19" s="239" t="s">
        <v>107</v>
      </c>
      <c r="S19" s="42"/>
    </row>
    <row r="20" spans="2:19" ht="15.5" x14ac:dyDescent="0.35">
      <c r="B20" s="132" t="s">
        <v>120</v>
      </c>
      <c r="C20" s="32"/>
      <c r="D20" s="79"/>
      <c r="E20" s="79"/>
      <c r="F20" s="236"/>
      <c r="G20" s="236"/>
      <c r="H20" s="80"/>
      <c r="I20" s="80"/>
      <c r="J20" s="236"/>
      <c r="K20" s="80"/>
      <c r="L20" s="236"/>
      <c r="M20" s="53"/>
      <c r="N20" s="53"/>
      <c r="O20" s="53"/>
      <c r="P20" s="81"/>
      <c r="Q20" s="55"/>
      <c r="R20" s="52"/>
      <c r="S20" s="42"/>
    </row>
    <row r="21" spans="2:19" ht="15.5" x14ac:dyDescent="0.35">
      <c r="B21" s="244">
        <v>14</v>
      </c>
      <c r="C21" s="32" t="s">
        <v>121</v>
      </c>
      <c r="D21" s="79">
        <v>1</v>
      </c>
      <c r="E21" s="79"/>
      <c r="F21" s="80">
        <v>50000</v>
      </c>
      <c r="G21" s="80">
        <f>[1]Sheet2!$F$20</f>
        <v>49800</v>
      </c>
      <c r="H21" s="276"/>
      <c r="I21" s="80">
        <f>[1]Sheet2!$D$20</f>
        <v>2012</v>
      </c>
      <c r="J21" s="80">
        <v>65000</v>
      </c>
      <c r="K21" s="80">
        <f>J21*0.95</f>
        <v>61750</v>
      </c>
      <c r="L21" s="80">
        <f>J21-K21</f>
        <v>3250</v>
      </c>
      <c r="M21" s="81">
        <v>250</v>
      </c>
      <c r="N21" s="81">
        <f t="shared" ref="N21:N28" si="4">M21*18%</f>
        <v>45</v>
      </c>
      <c r="O21" s="81">
        <v>0</v>
      </c>
      <c r="P21" s="81">
        <f t="shared" si="3"/>
        <v>295</v>
      </c>
      <c r="Q21" s="55" t="s">
        <v>79</v>
      </c>
      <c r="R21" s="239" t="s">
        <v>107</v>
      </c>
      <c r="S21" s="42"/>
    </row>
    <row r="22" spans="2:19" ht="15.5" x14ac:dyDescent="0.35">
      <c r="B22" s="244">
        <v>15</v>
      </c>
      <c r="C22" s="32" t="s">
        <v>122</v>
      </c>
      <c r="D22" s="79">
        <v>2</v>
      </c>
      <c r="E22" s="79"/>
      <c r="F22" s="80">
        <v>60000</v>
      </c>
      <c r="G22" s="80">
        <f>[1]Sheet2!$F$21</f>
        <v>59800</v>
      </c>
      <c r="H22" s="276"/>
      <c r="I22" s="80">
        <f>[1]Sheet2!$D$21</f>
        <v>2012</v>
      </c>
      <c r="J22" s="80">
        <f>37500*D22</f>
        <v>75000</v>
      </c>
      <c r="K22" s="80">
        <f>J22*0.95</f>
        <v>71250</v>
      </c>
      <c r="L22" s="80">
        <f>J22-K22</f>
        <v>3750</v>
      </c>
      <c r="M22" s="81">
        <v>300</v>
      </c>
      <c r="N22" s="81">
        <f t="shared" si="4"/>
        <v>54</v>
      </c>
      <c r="O22" s="81">
        <v>0</v>
      </c>
      <c r="P22" s="81">
        <f t="shared" si="3"/>
        <v>354</v>
      </c>
      <c r="Q22" s="55" t="s">
        <v>79</v>
      </c>
      <c r="R22" s="239" t="s">
        <v>107</v>
      </c>
      <c r="S22" s="42"/>
    </row>
    <row r="23" spans="2:19" ht="29" x14ac:dyDescent="0.35">
      <c r="B23" s="244">
        <v>16</v>
      </c>
      <c r="C23" s="32" t="s">
        <v>123</v>
      </c>
      <c r="D23" s="79">
        <v>1</v>
      </c>
      <c r="E23" s="79"/>
      <c r="F23" s="80">
        <v>584000</v>
      </c>
      <c r="G23" s="80"/>
      <c r="H23" s="80"/>
      <c r="I23" s="80"/>
      <c r="J23" s="80">
        <v>900000</v>
      </c>
      <c r="K23" s="80"/>
      <c r="L23" s="80"/>
      <c r="M23" s="81">
        <v>2920</v>
      </c>
      <c r="N23" s="81">
        <f t="shared" si="4"/>
        <v>525.6</v>
      </c>
      <c r="O23" s="81">
        <v>0</v>
      </c>
      <c r="P23" s="81">
        <f t="shared" si="3"/>
        <v>3445.6</v>
      </c>
      <c r="Q23" s="55" t="s">
        <v>79</v>
      </c>
      <c r="R23" s="239" t="s">
        <v>107</v>
      </c>
      <c r="S23" s="277" t="s">
        <v>436</v>
      </c>
    </row>
    <row r="24" spans="2:19" ht="15.5" x14ac:dyDescent="0.35">
      <c r="B24" s="244">
        <v>17</v>
      </c>
      <c r="C24" s="32" t="s">
        <v>124</v>
      </c>
      <c r="D24" s="79">
        <v>2</v>
      </c>
      <c r="E24" s="79"/>
      <c r="F24" s="80">
        <v>587000</v>
      </c>
      <c r="G24" s="80">
        <f>[1]Sheet2!$F$18</f>
        <v>587111.12</v>
      </c>
      <c r="H24" s="80"/>
      <c r="I24" s="80">
        <f>[1]Sheet2!$D$18</f>
        <v>2008</v>
      </c>
      <c r="J24" s="80">
        <v>850000</v>
      </c>
      <c r="K24" s="80">
        <f>J24*0.95</f>
        <v>807500</v>
      </c>
      <c r="L24" s="80">
        <f>J24-K24</f>
        <v>42500</v>
      </c>
      <c r="M24" s="81">
        <v>2935</v>
      </c>
      <c r="N24" s="81">
        <f t="shared" si="4"/>
        <v>528.29999999999995</v>
      </c>
      <c r="O24" s="81">
        <v>0</v>
      </c>
      <c r="P24" s="81">
        <f t="shared" si="3"/>
        <v>3463.3</v>
      </c>
      <c r="Q24" s="55" t="s">
        <v>79</v>
      </c>
      <c r="R24" s="239" t="s">
        <v>107</v>
      </c>
      <c r="S24" s="42"/>
    </row>
    <row r="25" spans="2:19" ht="29" x14ac:dyDescent="0.35">
      <c r="B25" s="244">
        <v>18</v>
      </c>
      <c r="C25" s="32" t="s">
        <v>125</v>
      </c>
      <c r="D25" s="79">
        <v>1</v>
      </c>
      <c r="E25" s="79"/>
      <c r="F25" s="80">
        <v>4835000</v>
      </c>
      <c r="G25" s="80"/>
      <c r="H25" s="80"/>
      <c r="I25" s="80"/>
      <c r="J25" s="80">
        <v>5200000</v>
      </c>
      <c r="K25" s="80"/>
      <c r="L25" s="80"/>
      <c r="M25" s="81">
        <v>24175</v>
      </c>
      <c r="N25" s="81">
        <f t="shared" si="4"/>
        <v>4351.5</v>
      </c>
      <c r="O25" s="81">
        <v>0</v>
      </c>
      <c r="P25" s="81">
        <f t="shared" si="3"/>
        <v>28526.5</v>
      </c>
      <c r="Q25" s="55" t="s">
        <v>79</v>
      </c>
      <c r="R25" s="239" t="s">
        <v>107</v>
      </c>
      <c r="S25" s="277" t="s">
        <v>436</v>
      </c>
    </row>
    <row r="26" spans="2:19" ht="29" x14ac:dyDescent="0.35">
      <c r="B26" s="244">
        <v>19</v>
      </c>
      <c r="C26" s="32" t="s">
        <v>126</v>
      </c>
      <c r="D26" s="79">
        <v>1</v>
      </c>
      <c r="E26" s="79"/>
      <c r="F26" s="80">
        <v>135000</v>
      </c>
      <c r="G26" s="80"/>
      <c r="H26" s="80"/>
      <c r="I26" s="80"/>
      <c r="J26" s="80">
        <v>200000</v>
      </c>
      <c r="K26" s="80"/>
      <c r="L26" s="80"/>
      <c r="M26" s="81">
        <v>675</v>
      </c>
      <c r="N26" s="81">
        <f t="shared" si="4"/>
        <v>121.5</v>
      </c>
      <c r="O26" s="81">
        <v>0</v>
      </c>
      <c r="P26" s="81">
        <f t="shared" si="3"/>
        <v>796.5</v>
      </c>
      <c r="Q26" s="55" t="s">
        <v>79</v>
      </c>
      <c r="R26" s="239" t="s">
        <v>107</v>
      </c>
      <c r="S26" s="277" t="s">
        <v>436</v>
      </c>
    </row>
    <row r="27" spans="2:19" ht="15.5" x14ac:dyDescent="0.35">
      <c r="B27" s="244">
        <v>20</v>
      </c>
      <c r="C27" s="32" t="s">
        <v>127</v>
      </c>
      <c r="D27" s="79">
        <v>4</v>
      </c>
      <c r="E27" s="79"/>
      <c r="F27" s="80">
        <v>3339000</v>
      </c>
      <c r="G27" s="80">
        <f>[1]Sheet2!$F$19</f>
        <v>3339148</v>
      </c>
      <c r="H27" s="80"/>
      <c r="I27" s="80">
        <f>[1]Sheet2!$D$19</f>
        <v>2008</v>
      </c>
      <c r="J27" s="80">
        <f>1250000*D27</f>
        <v>5000000</v>
      </c>
      <c r="K27" s="80">
        <f>J27*0.95</f>
        <v>4750000</v>
      </c>
      <c r="L27" s="80">
        <f>J27-K27</f>
        <v>250000</v>
      </c>
      <c r="M27" s="81">
        <v>16695</v>
      </c>
      <c r="N27" s="81">
        <f t="shared" si="4"/>
        <v>3005.1</v>
      </c>
      <c r="O27" s="81">
        <v>0</v>
      </c>
      <c r="P27" s="81">
        <f t="shared" si="3"/>
        <v>19700.099999999999</v>
      </c>
      <c r="Q27" s="55" t="s">
        <v>79</v>
      </c>
      <c r="R27" s="239" t="s">
        <v>107</v>
      </c>
      <c r="S27" s="42"/>
    </row>
    <row r="28" spans="2:19" ht="30" customHeight="1" x14ac:dyDescent="0.35">
      <c r="B28" s="244">
        <v>21</v>
      </c>
      <c r="C28" s="33" t="s">
        <v>128</v>
      </c>
      <c r="D28" s="79">
        <v>1</v>
      </c>
      <c r="E28" s="79"/>
      <c r="F28" s="80">
        <v>470000</v>
      </c>
      <c r="G28" s="80"/>
      <c r="H28" s="80"/>
      <c r="I28" s="80"/>
      <c r="J28" s="80">
        <v>560000</v>
      </c>
      <c r="K28" s="80"/>
      <c r="L28" s="80"/>
      <c r="M28" s="81">
        <v>2350</v>
      </c>
      <c r="N28" s="81">
        <f t="shared" si="4"/>
        <v>423</v>
      </c>
      <c r="O28" s="81">
        <v>0</v>
      </c>
      <c r="P28" s="81">
        <f t="shared" si="3"/>
        <v>2773</v>
      </c>
      <c r="Q28" s="55" t="s">
        <v>79</v>
      </c>
      <c r="R28" s="239" t="s">
        <v>107</v>
      </c>
      <c r="S28" s="277" t="s">
        <v>436</v>
      </c>
    </row>
    <row r="29" spans="2:19" ht="15.5" x14ac:dyDescent="0.35">
      <c r="B29" s="132" t="s">
        <v>129</v>
      </c>
      <c r="C29" s="33"/>
      <c r="D29" s="79"/>
      <c r="E29" s="79"/>
      <c r="F29" s="236"/>
      <c r="G29" s="236"/>
      <c r="H29" s="80"/>
      <c r="I29" s="80"/>
      <c r="J29" s="236"/>
      <c r="K29" s="80"/>
      <c r="L29" s="236"/>
      <c r="M29" s="53"/>
      <c r="N29" s="53"/>
      <c r="O29" s="53"/>
      <c r="P29" s="81"/>
      <c r="Q29" s="55"/>
      <c r="R29" s="52"/>
      <c r="S29" s="42"/>
    </row>
    <row r="30" spans="2:19" ht="33.75" customHeight="1" x14ac:dyDescent="0.35">
      <c r="B30" s="244">
        <v>22</v>
      </c>
      <c r="C30" s="32" t="s">
        <v>130</v>
      </c>
      <c r="D30" s="79">
        <v>33</v>
      </c>
      <c r="E30" s="79"/>
      <c r="F30" s="80">
        <f>1178000+76000</f>
        <v>1254000</v>
      </c>
      <c r="G30" s="629">
        <f>SUM([4]Sheet2!$F$23:$F$25)</f>
        <v>1612000</v>
      </c>
      <c r="H30" s="629"/>
      <c r="I30" s="629">
        <v>2015</v>
      </c>
      <c r="J30" s="629">
        <v>2000000</v>
      </c>
      <c r="K30" s="629">
        <f>J30*0.95*4/5</f>
        <v>1520000</v>
      </c>
      <c r="L30" s="629">
        <f>J30-K30</f>
        <v>480000</v>
      </c>
      <c r="M30" s="81">
        <v>6270</v>
      </c>
      <c r="N30" s="81">
        <f>M30*18%</f>
        <v>1128.5999999999999</v>
      </c>
      <c r="O30" s="81">
        <v>0</v>
      </c>
      <c r="P30" s="81">
        <f t="shared" si="3"/>
        <v>7398.6</v>
      </c>
      <c r="Q30" s="55" t="s">
        <v>79</v>
      </c>
      <c r="R30" s="239" t="s">
        <v>107</v>
      </c>
      <c r="S30" s="42"/>
    </row>
    <row r="31" spans="2:19" ht="29" x14ac:dyDescent="0.35">
      <c r="B31" s="244">
        <v>23</v>
      </c>
      <c r="C31" s="32" t="s">
        <v>131</v>
      </c>
      <c r="D31" s="79">
        <v>8</v>
      </c>
      <c r="E31" s="79"/>
      <c r="F31" s="80">
        <f>246000+82000</f>
        <v>328000</v>
      </c>
      <c r="G31" s="630"/>
      <c r="H31" s="630"/>
      <c r="I31" s="630"/>
      <c r="J31" s="630"/>
      <c r="K31" s="630">
        <f>J31*0.95*4/5</f>
        <v>0</v>
      </c>
      <c r="L31" s="630">
        <f>J31-K31</f>
        <v>0</v>
      </c>
      <c r="M31" s="81">
        <v>1640</v>
      </c>
      <c r="N31" s="81">
        <f>M31*18%</f>
        <v>295.2</v>
      </c>
      <c r="O31" s="81">
        <v>0</v>
      </c>
      <c r="P31" s="81">
        <f t="shared" si="3"/>
        <v>1935.2</v>
      </c>
      <c r="Q31" s="55" t="s">
        <v>79</v>
      </c>
      <c r="R31" s="239" t="s">
        <v>107</v>
      </c>
      <c r="S31" s="42"/>
    </row>
    <row r="32" spans="2:19" ht="29" x14ac:dyDescent="0.35">
      <c r="B32" s="244">
        <v>24</v>
      </c>
      <c r="C32" s="33" t="s">
        <v>132</v>
      </c>
      <c r="D32" s="79">
        <v>1</v>
      </c>
      <c r="E32" s="79"/>
      <c r="F32" s="80">
        <v>30000</v>
      </c>
      <c r="G32" s="631"/>
      <c r="H32" s="631"/>
      <c r="I32" s="631"/>
      <c r="J32" s="631"/>
      <c r="K32" s="631">
        <f>J32*0.95*4/5</f>
        <v>0</v>
      </c>
      <c r="L32" s="631">
        <f>J32-K32</f>
        <v>0</v>
      </c>
      <c r="M32" s="81">
        <v>150</v>
      </c>
      <c r="N32" s="81">
        <f>M32*18%</f>
        <v>27</v>
      </c>
      <c r="O32" s="81">
        <v>0</v>
      </c>
      <c r="P32" s="81">
        <f t="shared" si="3"/>
        <v>177</v>
      </c>
      <c r="Q32" s="55" t="s">
        <v>79</v>
      </c>
      <c r="R32" s="239" t="s">
        <v>107</v>
      </c>
      <c r="S32" s="42"/>
    </row>
    <row r="33" spans="2:19" ht="15.5" x14ac:dyDescent="0.35">
      <c r="B33" s="132" t="s">
        <v>133</v>
      </c>
      <c r="C33" s="33"/>
      <c r="D33" s="79"/>
      <c r="E33" s="79"/>
      <c r="F33" s="236"/>
      <c r="G33" s="236"/>
      <c r="H33" s="80"/>
      <c r="I33" s="80"/>
      <c r="J33" s="236"/>
      <c r="K33" s="80"/>
      <c r="L33" s="236"/>
      <c r="M33" s="53"/>
      <c r="N33" s="53"/>
      <c r="O33" s="53"/>
      <c r="P33" s="81"/>
      <c r="Q33" s="55"/>
      <c r="R33" s="52"/>
      <c r="S33" s="42"/>
    </row>
    <row r="34" spans="2:19" ht="18" customHeight="1" x14ac:dyDescent="0.35">
      <c r="B34" s="244">
        <v>25</v>
      </c>
      <c r="C34" s="243" t="s">
        <v>134</v>
      </c>
      <c r="D34" s="244">
        <v>1</v>
      </c>
      <c r="E34" s="244"/>
      <c r="F34" s="131">
        <v>527000</v>
      </c>
      <c r="G34" s="80">
        <f>[1]Sheet2!$F$27</f>
        <v>527258</v>
      </c>
      <c r="H34" s="131"/>
      <c r="I34" s="80">
        <f>[1]Sheet2!$D$27</f>
        <v>2015</v>
      </c>
      <c r="J34" s="131">
        <v>800000</v>
      </c>
      <c r="K34" s="80">
        <f>J34*0.95*4/5</f>
        <v>608000</v>
      </c>
      <c r="L34" s="80">
        <f>J34-K34</f>
        <v>192000</v>
      </c>
      <c r="M34" s="81">
        <v>2635</v>
      </c>
      <c r="N34" s="81">
        <f>M34*18%</f>
        <v>474.29999999999995</v>
      </c>
      <c r="O34" s="81"/>
      <c r="P34" s="81">
        <f t="shared" si="3"/>
        <v>3109.3</v>
      </c>
      <c r="Q34" s="55" t="s">
        <v>79</v>
      </c>
      <c r="R34" s="239" t="s">
        <v>107</v>
      </c>
      <c r="S34" s="42"/>
    </row>
    <row r="35" spans="2:19" ht="15.5" x14ac:dyDescent="0.35">
      <c r="B35" s="132" t="s">
        <v>135</v>
      </c>
      <c r="C35" s="243"/>
      <c r="D35" s="244"/>
      <c r="E35" s="244"/>
      <c r="F35" s="278"/>
      <c r="G35" s="278"/>
      <c r="H35" s="131"/>
      <c r="I35" s="131"/>
      <c r="J35" s="278"/>
      <c r="K35" s="131"/>
      <c r="L35" s="278"/>
      <c r="M35" s="53"/>
      <c r="N35" s="53"/>
      <c r="O35" s="53"/>
      <c r="P35" s="81"/>
      <c r="Q35" s="55"/>
      <c r="R35" s="52"/>
      <c r="S35" s="42"/>
    </row>
    <row r="36" spans="2:19" ht="18" customHeight="1" x14ac:dyDescent="0.35">
      <c r="B36" s="244">
        <v>26</v>
      </c>
      <c r="C36" s="32" t="s">
        <v>136</v>
      </c>
      <c r="D36" s="79">
        <v>2</v>
      </c>
      <c r="E36" s="79"/>
      <c r="F36" s="80">
        <v>95000</v>
      </c>
      <c r="G36" s="80">
        <f>[1]Sheet2!$F$29</f>
        <v>95048</v>
      </c>
      <c r="H36" s="80"/>
      <c r="I36" s="80">
        <f>[1]Sheet2!$D$29</f>
        <v>2014</v>
      </c>
      <c r="J36" s="80">
        <v>108000</v>
      </c>
      <c r="K36" s="80">
        <f>J36*0.95</f>
        <v>102600</v>
      </c>
      <c r="L36" s="80">
        <f>J36-K36</f>
        <v>5400</v>
      </c>
      <c r="M36" s="81">
        <v>475</v>
      </c>
      <c r="N36" s="81">
        <f>M36*18%</f>
        <v>85.5</v>
      </c>
      <c r="O36" s="81">
        <v>0</v>
      </c>
      <c r="P36" s="81">
        <f t="shared" si="3"/>
        <v>560.5</v>
      </c>
      <c r="Q36" s="55" t="s">
        <v>79</v>
      </c>
      <c r="R36" s="239" t="s">
        <v>107</v>
      </c>
      <c r="S36" s="42"/>
    </row>
    <row r="37" spans="2:19" ht="15.5" x14ac:dyDescent="0.35">
      <c r="B37" s="244">
        <v>27</v>
      </c>
      <c r="C37" s="32" t="s">
        <v>137</v>
      </c>
      <c r="D37" s="79">
        <v>3</v>
      </c>
      <c r="E37" s="79"/>
      <c r="F37" s="131">
        <v>108000</v>
      </c>
      <c r="G37" s="80">
        <f>[1]Sheet2!$F$30</f>
        <v>108285</v>
      </c>
      <c r="H37" s="131"/>
      <c r="I37" s="80">
        <f>[1]Sheet2!$D$30</f>
        <v>2014</v>
      </c>
      <c r="J37" s="80">
        <v>135000</v>
      </c>
      <c r="K37" s="80">
        <f>J37*0.95</f>
        <v>128250</v>
      </c>
      <c r="L37" s="80">
        <f>J37-K37</f>
        <v>6750</v>
      </c>
      <c r="M37" s="81">
        <v>540</v>
      </c>
      <c r="N37" s="81">
        <f>M37*18%</f>
        <v>97.2</v>
      </c>
      <c r="O37" s="81">
        <v>0</v>
      </c>
      <c r="P37" s="81">
        <f t="shared" si="3"/>
        <v>637.20000000000005</v>
      </c>
      <c r="Q37" s="55" t="s">
        <v>79</v>
      </c>
      <c r="R37" s="239" t="s">
        <v>107</v>
      </c>
      <c r="S37" s="42"/>
    </row>
    <row r="38" spans="2:19" ht="15.5" x14ac:dyDescent="0.35">
      <c r="B38" s="244">
        <v>28</v>
      </c>
      <c r="C38" s="33" t="s">
        <v>138</v>
      </c>
      <c r="D38" s="79">
        <v>1</v>
      </c>
      <c r="E38" s="79"/>
      <c r="F38" s="80">
        <v>44800</v>
      </c>
      <c r="G38" s="80">
        <f>[1]Sheet2!$F$31</f>
        <v>44762</v>
      </c>
      <c r="H38" s="80"/>
      <c r="I38" s="80">
        <f>[1]Sheet2!$D$31</f>
        <v>2015</v>
      </c>
      <c r="J38" s="80">
        <v>42000</v>
      </c>
      <c r="K38" s="80">
        <f>J38*0.95</f>
        <v>39900</v>
      </c>
      <c r="L38" s="80">
        <f>J38-K38</f>
        <v>2100</v>
      </c>
      <c r="M38" s="81">
        <v>293</v>
      </c>
      <c r="N38" s="81">
        <f>M38*18/100</f>
        <v>52.74</v>
      </c>
      <c r="O38" s="135">
        <v>0</v>
      </c>
      <c r="P38" s="81">
        <f t="shared" si="3"/>
        <v>345.74</v>
      </c>
      <c r="Q38" s="55" t="s">
        <v>19</v>
      </c>
      <c r="R38" s="52" t="s">
        <v>107</v>
      </c>
      <c r="S38" s="42"/>
    </row>
    <row r="39" spans="2:19" ht="15.5" x14ac:dyDescent="0.35">
      <c r="B39" s="244">
        <v>29</v>
      </c>
      <c r="C39" s="33" t="s">
        <v>139</v>
      </c>
      <c r="D39" s="79">
        <v>1</v>
      </c>
      <c r="E39" s="79"/>
      <c r="F39" s="80">
        <v>70000</v>
      </c>
      <c r="G39" s="80">
        <f>[1]Sheet2!$F$32</f>
        <v>70286</v>
      </c>
      <c r="H39" s="80"/>
      <c r="I39" s="80">
        <f>[1]Sheet2!$D$32</f>
        <v>2016</v>
      </c>
      <c r="J39" s="80">
        <v>75000</v>
      </c>
      <c r="K39" s="80">
        <f>J39*0.95</f>
        <v>71250</v>
      </c>
      <c r="L39" s="80">
        <f>J39-K39</f>
        <v>3750</v>
      </c>
      <c r="M39" s="81">
        <v>350</v>
      </c>
      <c r="N39" s="81">
        <f>M39*18%</f>
        <v>63</v>
      </c>
      <c r="O39" s="81">
        <v>0</v>
      </c>
      <c r="P39" s="81">
        <f t="shared" si="3"/>
        <v>413</v>
      </c>
      <c r="Q39" s="55" t="s">
        <v>79</v>
      </c>
      <c r="R39" s="239" t="s">
        <v>107</v>
      </c>
      <c r="S39" s="42"/>
    </row>
    <row r="40" spans="2:19" ht="15.5" x14ac:dyDescent="0.35">
      <c r="B40" s="244">
        <v>30</v>
      </c>
      <c r="C40" s="33" t="s">
        <v>140</v>
      </c>
      <c r="D40" s="79">
        <v>1</v>
      </c>
      <c r="E40" s="79"/>
      <c r="F40" s="80">
        <v>41000</v>
      </c>
      <c r="G40" s="80">
        <f>[1]Sheet2!$F$33</f>
        <v>40952</v>
      </c>
      <c r="H40" s="80"/>
      <c r="I40" s="80">
        <f>[1]Sheet2!$D$33</f>
        <v>2017</v>
      </c>
      <c r="J40" s="80">
        <v>39000</v>
      </c>
      <c r="K40" s="80">
        <f>J40*0.95*2/3</f>
        <v>24700</v>
      </c>
      <c r="L40" s="80">
        <f>J40-K40</f>
        <v>14300</v>
      </c>
      <c r="M40" s="81">
        <v>205</v>
      </c>
      <c r="N40" s="81">
        <f>M40*18%</f>
        <v>36.9</v>
      </c>
      <c r="O40" s="81">
        <v>0</v>
      </c>
      <c r="P40" s="81">
        <f t="shared" si="3"/>
        <v>241.9</v>
      </c>
      <c r="Q40" s="55" t="s">
        <v>79</v>
      </c>
      <c r="R40" s="239" t="s">
        <v>107</v>
      </c>
      <c r="S40" s="42"/>
    </row>
    <row r="41" spans="2:19" ht="17" x14ac:dyDescent="0.35">
      <c r="B41" s="136" t="s">
        <v>141</v>
      </c>
      <c r="C41" s="55"/>
      <c r="D41" s="79"/>
      <c r="E41" s="79"/>
      <c r="F41" s="278"/>
      <c r="G41" s="278"/>
      <c r="H41" s="137"/>
      <c r="I41" s="137"/>
      <c r="J41" s="278"/>
      <c r="K41" s="137"/>
      <c r="L41" s="278"/>
      <c r="M41" s="53"/>
      <c r="N41" s="53"/>
      <c r="O41" s="53"/>
      <c r="P41" s="81"/>
      <c r="Q41" s="55"/>
      <c r="R41" s="52"/>
      <c r="S41" s="42"/>
    </row>
    <row r="42" spans="2:19" ht="18.75" customHeight="1" x14ac:dyDescent="0.35">
      <c r="B42" s="244">
        <v>1</v>
      </c>
      <c r="C42" s="243" t="s">
        <v>142</v>
      </c>
      <c r="D42" s="244">
        <v>1</v>
      </c>
      <c r="E42" s="244"/>
      <c r="F42" s="131">
        <v>40000</v>
      </c>
      <c r="G42" s="80">
        <f>[1]Sheet2!$F$34</f>
        <v>40000</v>
      </c>
      <c r="H42" s="131"/>
      <c r="I42" s="80">
        <f>[1]Sheet2!$D$34</f>
        <v>2012</v>
      </c>
      <c r="J42" s="131">
        <v>38000</v>
      </c>
      <c r="K42" s="80">
        <f>J42*0.95</f>
        <v>36100</v>
      </c>
      <c r="L42" s="80">
        <f>J42-K42</f>
        <v>1900</v>
      </c>
      <c r="M42" s="81">
        <v>200</v>
      </c>
      <c r="N42" s="81">
        <f>M42*18%</f>
        <v>36</v>
      </c>
      <c r="O42" s="81">
        <v>0</v>
      </c>
      <c r="P42" s="81">
        <f t="shared" si="3"/>
        <v>236</v>
      </c>
      <c r="Q42" s="55" t="s">
        <v>79</v>
      </c>
      <c r="R42" s="239" t="s">
        <v>107</v>
      </c>
      <c r="S42" s="42"/>
    </row>
    <row r="43" spans="2:19" ht="18.75" customHeight="1" x14ac:dyDescent="0.35">
      <c r="B43" s="244">
        <v>2</v>
      </c>
      <c r="C43" s="32" t="s">
        <v>143</v>
      </c>
      <c r="D43" s="79">
        <v>1</v>
      </c>
      <c r="E43" s="79"/>
      <c r="F43" s="131">
        <v>45000</v>
      </c>
      <c r="G43" s="80">
        <f>[1]Sheet2!$F$35</f>
        <v>45238</v>
      </c>
      <c r="H43" s="131"/>
      <c r="I43" s="80">
        <f>[1]Sheet2!$D$35</f>
        <v>2015</v>
      </c>
      <c r="J43" s="131">
        <v>42500</v>
      </c>
      <c r="K43" s="80">
        <f>J43*0.95</f>
        <v>40375</v>
      </c>
      <c r="L43" s="80">
        <f>J43-K43</f>
        <v>2125</v>
      </c>
      <c r="M43" s="81">
        <v>225</v>
      </c>
      <c r="N43" s="81">
        <f>M43*18%</f>
        <v>40.5</v>
      </c>
      <c r="O43" s="81">
        <v>0</v>
      </c>
      <c r="P43" s="81">
        <f t="shared" si="3"/>
        <v>265.5</v>
      </c>
      <c r="Q43" s="55" t="s">
        <v>79</v>
      </c>
      <c r="R43" s="239" t="s">
        <v>107</v>
      </c>
      <c r="S43" s="42"/>
    </row>
    <row r="44" spans="2:19" ht="15.5" x14ac:dyDescent="0.35">
      <c r="B44" s="244">
        <v>3</v>
      </c>
      <c r="C44" s="243" t="s">
        <v>144</v>
      </c>
      <c r="D44" s="244">
        <v>1</v>
      </c>
      <c r="E44" s="244"/>
      <c r="F44" s="131">
        <v>40000</v>
      </c>
      <c r="G44" s="80">
        <f>[1]Sheet2!$F$36</f>
        <v>40000</v>
      </c>
      <c r="H44" s="131"/>
      <c r="I44" s="80">
        <f>[1]Sheet2!$D$36</f>
        <v>2017</v>
      </c>
      <c r="J44" s="131">
        <v>47000</v>
      </c>
      <c r="K44" s="80">
        <f>J44*0.95*2/3</f>
        <v>29766.666666666668</v>
      </c>
      <c r="L44" s="80">
        <f>J44-K44</f>
        <v>17233.333333333332</v>
      </c>
      <c r="M44" s="81">
        <v>200</v>
      </c>
      <c r="N44" s="81">
        <f>M44*18%</f>
        <v>36</v>
      </c>
      <c r="O44" s="81">
        <v>0</v>
      </c>
      <c r="P44" s="81">
        <f t="shared" si="3"/>
        <v>236</v>
      </c>
      <c r="Q44" s="55" t="s">
        <v>79</v>
      </c>
      <c r="R44" s="239" t="s">
        <v>107</v>
      </c>
      <c r="S44" s="42"/>
    </row>
    <row r="45" spans="2:19" ht="17.25" customHeight="1" x14ac:dyDescent="0.35">
      <c r="B45" s="244">
        <v>4</v>
      </c>
      <c r="C45" s="243" t="s">
        <v>145</v>
      </c>
      <c r="D45" s="244">
        <v>1</v>
      </c>
      <c r="E45" s="244"/>
      <c r="F45" s="131">
        <v>36000</v>
      </c>
      <c r="G45" s="80">
        <f>[1]Sheet2!$F$37</f>
        <v>36095</v>
      </c>
      <c r="H45" s="131"/>
      <c r="I45" s="80">
        <f>[1]Sheet2!$D$37</f>
        <v>2014</v>
      </c>
      <c r="J45" s="131">
        <v>36000</v>
      </c>
      <c r="K45" s="80">
        <f>J45*0.95</f>
        <v>34200</v>
      </c>
      <c r="L45" s="80">
        <f>J45-K45</f>
        <v>1800</v>
      </c>
      <c r="M45" s="81">
        <v>180</v>
      </c>
      <c r="N45" s="81">
        <f>M45*18%</f>
        <v>32.4</v>
      </c>
      <c r="O45" s="81">
        <v>0</v>
      </c>
      <c r="P45" s="81">
        <f t="shared" si="3"/>
        <v>212.4</v>
      </c>
      <c r="Q45" s="55" t="s">
        <v>79</v>
      </c>
      <c r="R45" s="239" t="s">
        <v>107</v>
      </c>
      <c r="S45" s="42"/>
    </row>
    <row r="46" spans="2:19" ht="17.25" customHeight="1" x14ac:dyDescent="0.35">
      <c r="B46" s="244">
        <v>5</v>
      </c>
      <c r="C46" s="243" t="s">
        <v>437</v>
      </c>
      <c r="D46" s="244">
        <v>1</v>
      </c>
      <c r="E46" s="244"/>
      <c r="F46" s="131"/>
      <c r="G46" s="80">
        <f>[1]Sheet2!$F$38</f>
        <v>127800</v>
      </c>
      <c r="H46" s="131"/>
      <c r="I46" s="80">
        <f>[1]Sheet2!$D$38</f>
        <v>2019</v>
      </c>
      <c r="J46" s="131">
        <f>G46</f>
        <v>127800</v>
      </c>
      <c r="K46" s="305">
        <v>0</v>
      </c>
      <c r="L46" s="80">
        <f>J46-K46</f>
        <v>127800</v>
      </c>
      <c r="M46" s="81"/>
      <c r="N46" s="81"/>
      <c r="O46" s="81"/>
      <c r="P46" s="81"/>
      <c r="Q46" s="55"/>
      <c r="R46" s="239"/>
      <c r="S46" s="42"/>
    </row>
    <row r="47" spans="2:19" ht="17.25" customHeight="1" x14ac:dyDescent="0.35">
      <c r="B47" s="244"/>
      <c r="C47" s="279"/>
      <c r="D47" s="244"/>
      <c r="E47" s="244"/>
      <c r="F47" s="278"/>
      <c r="G47" s="278"/>
      <c r="H47" s="131"/>
      <c r="I47" s="131"/>
      <c r="J47" s="278"/>
      <c r="K47" s="131"/>
      <c r="L47" s="278"/>
      <c r="M47" s="81"/>
      <c r="N47" s="81"/>
      <c r="O47" s="81"/>
      <c r="P47" s="81"/>
      <c r="Q47" s="55"/>
      <c r="R47" s="239"/>
      <c r="S47" s="42"/>
    </row>
    <row r="48" spans="2:19" ht="19.5" x14ac:dyDescent="0.35">
      <c r="B48" s="133" t="s">
        <v>146</v>
      </c>
      <c r="C48" s="33"/>
      <c r="D48" s="79"/>
      <c r="E48" s="79"/>
      <c r="F48" s="80"/>
      <c r="G48" s="80"/>
      <c r="H48" s="80"/>
      <c r="I48" s="80"/>
      <c r="J48" s="80"/>
      <c r="K48" s="80"/>
      <c r="L48" s="80"/>
      <c r="M48" s="53"/>
      <c r="N48" s="53"/>
      <c r="O48" s="53"/>
      <c r="P48" s="81"/>
      <c r="Q48" s="55"/>
      <c r="R48" s="52"/>
      <c r="S48" s="42"/>
    </row>
    <row r="49" spans="2:19" s="2" customFormat="1" ht="33.75" customHeight="1" x14ac:dyDescent="0.35">
      <c r="B49" s="79">
        <v>1</v>
      </c>
      <c r="C49" s="128" t="s">
        <v>147</v>
      </c>
      <c r="D49" s="241"/>
      <c r="E49" s="241"/>
      <c r="F49" s="80">
        <v>388000</v>
      </c>
      <c r="G49" s="80"/>
      <c r="H49" s="80"/>
      <c r="I49" s="80"/>
      <c r="J49" s="80"/>
      <c r="K49" s="80"/>
      <c r="L49" s="80"/>
      <c r="M49" s="81">
        <v>2910</v>
      </c>
      <c r="N49" s="81">
        <f>M49*18%</f>
        <v>523.79999999999995</v>
      </c>
      <c r="O49" s="81"/>
      <c r="P49" s="81">
        <f t="shared" si="3"/>
        <v>3433.8</v>
      </c>
      <c r="Q49" s="55" t="s">
        <v>79</v>
      </c>
      <c r="R49" s="239" t="s">
        <v>148</v>
      </c>
      <c r="S49" s="42"/>
    </row>
    <row r="50" spans="2:19" ht="19.5" x14ac:dyDescent="0.35">
      <c r="B50" s="133" t="s">
        <v>159</v>
      </c>
      <c r="C50" s="33"/>
      <c r="D50" s="244"/>
      <c r="E50" s="244"/>
      <c r="F50" s="53"/>
      <c r="G50" s="53"/>
      <c r="H50" s="53"/>
      <c r="I50" s="53"/>
      <c r="J50" s="53"/>
      <c r="K50" s="53"/>
      <c r="L50" s="53"/>
      <c r="M50" s="53"/>
      <c r="N50" s="53"/>
      <c r="O50" s="53"/>
      <c r="P50" s="54"/>
      <c r="Q50" s="55"/>
      <c r="R50" s="33"/>
    </row>
    <row r="51" spans="2:19" ht="43.5" x14ac:dyDescent="0.35">
      <c r="B51" s="244">
        <v>1</v>
      </c>
      <c r="C51" s="78" t="s">
        <v>152</v>
      </c>
      <c r="D51" s="244"/>
      <c r="E51" s="244"/>
      <c r="F51" s="137">
        <v>700000000</v>
      </c>
      <c r="G51" s="137"/>
      <c r="H51" s="137"/>
      <c r="I51" s="137"/>
      <c r="J51" s="137"/>
      <c r="K51" s="137"/>
      <c r="L51" s="137"/>
      <c r="M51" s="140">
        <v>148723</v>
      </c>
      <c r="N51" s="140">
        <v>26770</v>
      </c>
      <c r="O51" s="55">
        <v>0</v>
      </c>
      <c r="P51" s="242">
        <f>+M51+N51+O51</f>
        <v>175493</v>
      </c>
      <c r="Q51" s="55" t="s">
        <v>44</v>
      </c>
      <c r="R51" s="32" t="s">
        <v>151</v>
      </c>
    </row>
    <row r="52" spans="2:19" x14ac:dyDescent="0.35">
      <c r="B52" s="244"/>
      <c r="C52" s="141"/>
      <c r="D52" s="244"/>
      <c r="E52" s="244"/>
      <c r="F52" s="131"/>
      <c r="G52" s="131"/>
      <c r="H52" s="131"/>
      <c r="I52" s="131"/>
      <c r="J52" s="131"/>
      <c r="K52" s="131"/>
      <c r="L52" s="131"/>
      <c r="M52" s="53">
        <v>0</v>
      </c>
      <c r="N52" s="53">
        <v>0</v>
      </c>
      <c r="O52" s="53">
        <v>0</v>
      </c>
      <c r="P52" s="53">
        <v>0</v>
      </c>
      <c r="Q52" s="55"/>
      <c r="R52" s="56"/>
    </row>
    <row r="53" spans="2:19" ht="15.5" x14ac:dyDescent="0.35">
      <c r="B53" s="244"/>
      <c r="C53" s="6" t="s">
        <v>150</v>
      </c>
      <c r="D53" s="244"/>
      <c r="E53" s="244"/>
      <c r="F53" s="58">
        <f>SUM(F5:F52)</f>
        <v>727730552</v>
      </c>
      <c r="G53" s="58"/>
      <c r="H53" s="58"/>
      <c r="I53" s="58"/>
      <c r="J53" s="58"/>
      <c r="K53" s="58"/>
      <c r="L53" s="58">
        <f>SUM(L5:L52)</f>
        <v>2944508.3333333335</v>
      </c>
      <c r="M53" s="57">
        <f>SUM(M5:M51)</f>
        <v>276897</v>
      </c>
      <c r="N53" s="57">
        <f>SUM(N5:N51)</f>
        <v>49841.320000000007</v>
      </c>
      <c r="O53" s="57">
        <f>SUM(O5:O51)</f>
        <v>0</v>
      </c>
      <c r="P53" s="57">
        <f>SUM(P5:P51)</f>
        <v>326738.32</v>
      </c>
      <c r="Q53" s="55"/>
      <c r="R53" s="33"/>
    </row>
    <row r="56" spans="2:19" ht="75" customHeight="1" x14ac:dyDescent="0.35">
      <c r="C56" s="682" t="s">
        <v>364</v>
      </c>
      <c r="D56" s="682"/>
      <c r="E56" s="682"/>
      <c r="F56" s="682"/>
      <c r="G56" s="682"/>
      <c r="H56" s="682"/>
      <c r="I56" s="682"/>
      <c r="J56" s="682"/>
      <c r="K56" s="682"/>
      <c r="L56" s="682"/>
    </row>
    <row r="57" spans="2:19" ht="43.5" customHeight="1" x14ac:dyDescent="0.35">
      <c r="C57" s="682" t="s">
        <v>365</v>
      </c>
      <c r="D57" s="682"/>
      <c r="E57" s="682"/>
      <c r="F57" s="682"/>
      <c r="G57" s="682"/>
      <c r="H57" s="682"/>
      <c r="I57" s="682"/>
      <c r="J57" s="682"/>
      <c r="K57" s="682"/>
      <c r="L57" s="682"/>
    </row>
    <row r="59" spans="2:19" ht="47.25" customHeight="1" x14ac:dyDescent="0.35">
      <c r="C59" s="683" t="s">
        <v>366</v>
      </c>
      <c r="D59" s="683"/>
      <c r="E59" s="683"/>
      <c r="F59" s="683"/>
      <c r="G59" s="683"/>
      <c r="H59" s="683"/>
      <c r="I59" s="683"/>
      <c r="J59" s="683"/>
      <c r="K59" s="683"/>
      <c r="L59" s="683"/>
      <c r="M59" s="76"/>
      <c r="O59" s="35"/>
    </row>
    <row r="60" spans="2:19" ht="15.5" x14ac:dyDescent="0.35">
      <c r="C60" s="76"/>
      <c r="D60" s="77"/>
      <c r="E60" s="77"/>
      <c r="F60" s="76"/>
      <c r="G60" s="76"/>
      <c r="H60" s="76"/>
      <c r="I60" s="76"/>
      <c r="J60" s="76"/>
      <c r="K60" s="76"/>
      <c r="L60" s="76"/>
      <c r="M60" s="76"/>
      <c r="O60" s="35"/>
    </row>
    <row r="61" spans="2:19" ht="15.5" x14ac:dyDescent="0.35">
      <c r="C61" s="76"/>
      <c r="D61" s="77"/>
      <c r="E61" s="77"/>
      <c r="F61" s="76"/>
      <c r="G61" s="76"/>
      <c r="H61" s="76"/>
      <c r="I61" s="76"/>
      <c r="J61" s="76"/>
      <c r="K61" s="76"/>
      <c r="L61" s="76"/>
      <c r="M61" s="76"/>
      <c r="O61" s="35"/>
    </row>
    <row r="62" spans="2:19" ht="15.5" x14ac:dyDescent="0.35">
      <c r="C62" s="76"/>
      <c r="D62" s="76"/>
      <c r="E62" s="76"/>
      <c r="F62" s="76"/>
      <c r="G62" s="76"/>
      <c r="H62" s="76"/>
      <c r="I62" s="76"/>
      <c r="J62" s="76"/>
      <c r="K62" s="76"/>
      <c r="L62" s="76"/>
      <c r="M62" s="76"/>
      <c r="O62" s="35"/>
    </row>
    <row r="64" spans="2:19" x14ac:dyDescent="0.35">
      <c r="D64" s="2"/>
      <c r="E64" s="2"/>
      <c r="F64" s="50"/>
      <c r="G64" s="50"/>
      <c r="H64" s="50"/>
      <c r="I64" s="50"/>
      <c r="J64" s="50"/>
      <c r="K64" s="50"/>
      <c r="L64" s="50"/>
      <c r="M64" s="50"/>
    </row>
  </sheetData>
  <mergeCells count="13">
    <mergeCell ref="C56:L56"/>
    <mergeCell ref="C57:L57"/>
    <mergeCell ref="C59:L59"/>
    <mergeCell ref="B2:R2"/>
    <mergeCell ref="G3:H3"/>
    <mergeCell ref="J3:L3"/>
    <mergeCell ref="B5:L5"/>
    <mergeCell ref="G30:G32"/>
    <mergeCell ref="H30:H32"/>
    <mergeCell ref="I30:I32"/>
    <mergeCell ref="J30:J32"/>
    <mergeCell ref="K30:K32"/>
    <mergeCell ref="L30:L32"/>
  </mergeCells>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topLeftCell="B20" workbookViewId="0">
      <selection activeCell="U24" sqref="U24"/>
    </sheetView>
  </sheetViews>
  <sheetFormatPr defaultColWidth="9.1796875" defaultRowHeight="14.5" x14ac:dyDescent="0.35"/>
  <cols>
    <col min="1" max="1" width="3.54296875" style="3" customWidth="1"/>
    <col min="2" max="2" width="5.1796875" style="1" customWidth="1"/>
    <col min="3" max="3" width="45.7265625" style="2" customWidth="1"/>
    <col min="4" max="4" width="10.54296875" style="1" customWidth="1"/>
    <col min="5" max="5" width="12.54296875" style="1" customWidth="1"/>
    <col min="6" max="11" width="18.26953125" style="37" customWidth="1"/>
    <col min="12" max="12" width="15.1796875" style="37" hidden="1" customWidth="1"/>
    <col min="13" max="13" width="12.54296875" style="37" hidden="1" customWidth="1"/>
    <col min="14" max="14" width="12.81640625" style="37" hidden="1" customWidth="1"/>
    <col min="15" max="15" width="15.26953125" style="37" hidden="1" customWidth="1"/>
    <col min="16" max="16" width="23.7265625" style="3" hidden="1" customWidth="1"/>
    <col min="17" max="17" width="52" style="2" hidden="1" customWidth="1"/>
    <col min="18" max="18" width="26.7265625" style="3" customWidth="1"/>
    <col min="19" max="19" width="27.7265625" style="3" customWidth="1"/>
    <col min="20" max="16384" width="9.1796875" style="3"/>
  </cols>
  <sheetData>
    <row r="1" spans="1:19" x14ac:dyDescent="0.35">
      <c r="A1" s="3" t="s">
        <v>153</v>
      </c>
      <c r="F1" s="36"/>
      <c r="G1" s="36"/>
      <c r="H1" s="36"/>
      <c r="I1" s="36"/>
      <c r="J1" s="36"/>
      <c r="K1" s="36"/>
    </row>
    <row r="2" spans="1:19" ht="17" x14ac:dyDescent="0.35">
      <c r="B2" s="640" t="s">
        <v>157</v>
      </c>
      <c r="C2" s="640"/>
      <c r="D2" s="640"/>
      <c r="E2" s="640"/>
      <c r="F2" s="640"/>
      <c r="G2" s="640"/>
      <c r="H2" s="640"/>
      <c r="I2" s="640"/>
      <c r="J2" s="640"/>
      <c r="K2" s="640"/>
      <c r="L2" s="640"/>
      <c r="M2" s="640"/>
      <c r="N2" s="640"/>
      <c r="O2" s="640"/>
      <c r="P2" s="640"/>
      <c r="Q2" s="640"/>
    </row>
    <row r="3" spans="1:19" ht="43.5" x14ac:dyDescent="0.35">
      <c r="B3" s="4"/>
      <c r="C3" s="4"/>
      <c r="E3" s="79" t="s">
        <v>363</v>
      </c>
      <c r="F3" s="217" t="s">
        <v>362</v>
      </c>
      <c r="G3" s="686" t="s">
        <v>360</v>
      </c>
      <c r="H3" s="686"/>
      <c r="I3" s="686" t="s">
        <v>359</v>
      </c>
      <c r="J3" s="686"/>
      <c r="K3" s="686"/>
    </row>
    <row r="4" spans="1:19" s="5" customFormat="1" ht="36" customHeight="1" x14ac:dyDescent="0.35">
      <c r="B4" s="267" t="s">
        <v>0</v>
      </c>
      <c r="C4" s="268" t="s">
        <v>1</v>
      </c>
      <c r="D4" s="268" t="s">
        <v>2</v>
      </c>
      <c r="E4" s="268" t="s">
        <v>269</v>
      </c>
      <c r="F4" s="267" t="s">
        <v>155</v>
      </c>
      <c r="G4" s="74" t="s">
        <v>357</v>
      </c>
      <c r="H4" s="74" t="s">
        <v>358</v>
      </c>
      <c r="I4" s="74" t="s">
        <v>185</v>
      </c>
      <c r="J4" s="74" t="s">
        <v>186</v>
      </c>
      <c r="K4" s="74" t="s">
        <v>187</v>
      </c>
      <c r="L4" s="268" t="s">
        <v>4</v>
      </c>
      <c r="M4" s="268" t="s">
        <v>5</v>
      </c>
      <c r="N4" s="268" t="s">
        <v>6</v>
      </c>
      <c r="O4" s="268" t="s">
        <v>154</v>
      </c>
      <c r="P4" s="267" t="s">
        <v>3</v>
      </c>
      <c r="Q4" s="267" t="s">
        <v>156</v>
      </c>
      <c r="R4" s="5" t="s">
        <v>412</v>
      </c>
      <c r="S4" s="5" t="s">
        <v>414</v>
      </c>
    </row>
    <row r="5" spans="1:19" ht="19.5" x14ac:dyDescent="0.35">
      <c r="B5" s="133" t="s">
        <v>86</v>
      </c>
      <c r="C5" s="33"/>
      <c r="D5" s="79"/>
      <c r="E5" s="79"/>
      <c r="F5" s="80"/>
      <c r="G5" s="80"/>
      <c r="H5" s="80"/>
      <c r="I5" s="80"/>
      <c r="J5" s="80"/>
      <c r="K5" s="80"/>
      <c r="L5" s="53"/>
      <c r="M5" s="53"/>
      <c r="N5" s="53"/>
      <c r="O5" s="53"/>
      <c r="P5" s="55"/>
      <c r="Q5" s="52"/>
      <c r="R5" s="42"/>
    </row>
    <row r="6" spans="1:19" ht="29" x14ac:dyDescent="0.35">
      <c r="B6" s="250">
        <v>1</v>
      </c>
      <c r="C6" s="82" t="s">
        <v>87</v>
      </c>
      <c r="D6" s="247">
        <v>1</v>
      </c>
      <c r="E6" s="247" t="s">
        <v>271</v>
      </c>
      <c r="F6" s="80">
        <v>17000000</v>
      </c>
      <c r="G6" s="80">
        <f>[5]Annexures!D156</f>
        <v>9940193</v>
      </c>
      <c r="H6" s="80">
        <f>[5]Annexures!M156</f>
        <v>728602</v>
      </c>
      <c r="I6" s="80">
        <v>25000000</v>
      </c>
      <c r="J6" s="80">
        <f>[5]Annexures!P156</f>
        <v>11400000</v>
      </c>
      <c r="K6" s="80">
        <v>1250000</v>
      </c>
      <c r="L6" s="83">
        <v>10263</v>
      </c>
      <c r="M6" s="84">
        <v>1847.34</v>
      </c>
      <c r="N6" s="83">
        <v>0</v>
      </c>
      <c r="O6" s="81">
        <f t="shared" ref="O6:O19" si="0">L6+M6+N6</f>
        <v>12110.34</v>
      </c>
      <c r="P6" s="55" t="s">
        <v>19</v>
      </c>
      <c r="Q6" s="246" t="s">
        <v>88</v>
      </c>
      <c r="R6" s="42">
        <v>1250000</v>
      </c>
      <c r="S6" s="254" t="s">
        <v>444</v>
      </c>
    </row>
    <row r="7" spans="1:19" ht="72.5" x14ac:dyDescent="0.35">
      <c r="B7" s="250">
        <v>2</v>
      </c>
      <c r="C7" s="82" t="s">
        <v>89</v>
      </c>
      <c r="D7" s="247">
        <v>1</v>
      </c>
      <c r="E7" s="247" t="s">
        <v>271</v>
      </c>
      <c r="F7" s="80">
        <v>140000000</v>
      </c>
      <c r="G7" s="80">
        <f>[5]Annexures!D159</f>
        <v>104307906.2</v>
      </c>
      <c r="H7" s="80">
        <f>[5]Annexures!M159</f>
        <v>37379380.409999996</v>
      </c>
      <c r="I7" s="80">
        <v>200000000</v>
      </c>
      <c r="J7" s="80">
        <f>[5]Annexures!P159</f>
        <v>99750000</v>
      </c>
      <c r="K7" s="80">
        <v>67000000</v>
      </c>
      <c r="L7" s="83">
        <v>67150</v>
      </c>
      <c r="M7" s="84">
        <v>12087</v>
      </c>
      <c r="N7" s="83">
        <v>0</v>
      </c>
      <c r="O7" s="81">
        <f t="shared" si="0"/>
        <v>79237</v>
      </c>
      <c r="P7" s="55" t="s">
        <v>19</v>
      </c>
      <c r="Q7" s="52" t="s">
        <v>88</v>
      </c>
      <c r="R7" s="42">
        <v>50000000</v>
      </c>
      <c r="S7" s="254" t="s">
        <v>445</v>
      </c>
    </row>
    <row r="8" spans="1:19" ht="43.5" x14ac:dyDescent="0.35">
      <c r="B8" s="250">
        <v>3</v>
      </c>
      <c r="C8" s="138" t="s">
        <v>90</v>
      </c>
      <c r="D8" s="247">
        <v>2</v>
      </c>
      <c r="E8" s="247" t="s">
        <v>271</v>
      </c>
      <c r="F8" s="80">
        <v>5000000</v>
      </c>
      <c r="G8" s="80">
        <f>[5]Annexures!D164</f>
        <v>4762699.26</v>
      </c>
      <c r="H8" s="80">
        <f>[5]Annexures!M164</f>
        <v>986791.26</v>
      </c>
      <c r="I8" s="80">
        <v>5000000</v>
      </c>
      <c r="J8" s="80">
        <f>[5]Annexures!P164</f>
        <v>2826250</v>
      </c>
      <c r="K8" s="80">
        <v>843750</v>
      </c>
      <c r="L8" s="83">
        <v>4185</v>
      </c>
      <c r="M8" s="84">
        <v>753.3</v>
      </c>
      <c r="N8" s="83">
        <v>0</v>
      </c>
      <c r="O8" s="81">
        <f t="shared" si="0"/>
        <v>4938.3</v>
      </c>
      <c r="P8" s="55" t="s">
        <v>10</v>
      </c>
      <c r="Q8" s="246" t="s">
        <v>88</v>
      </c>
      <c r="R8" s="42">
        <v>843750</v>
      </c>
      <c r="S8" s="254" t="s">
        <v>446</v>
      </c>
    </row>
    <row r="9" spans="1:19" ht="72.5" x14ac:dyDescent="0.35">
      <c r="B9" s="250">
        <v>4</v>
      </c>
      <c r="C9" s="82" t="s">
        <v>91</v>
      </c>
      <c r="D9" s="247">
        <v>1</v>
      </c>
      <c r="E9" s="247" t="s">
        <v>271</v>
      </c>
      <c r="F9" s="80">
        <v>23420938</v>
      </c>
      <c r="G9" s="80">
        <f>[5]Annexures!D167</f>
        <v>10513594</v>
      </c>
      <c r="H9" s="80">
        <f>[5]Annexures!M167</f>
        <v>7021065</v>
      </c>
      <c r="I9" s="80">
        <v>25000000</v>
      </c>
      <c r="J9" s="80">
        <f>[5]Annexures!P167</f>
        <v>4275000</v>
      </c>
      <c r="K9" s="80">
        <v>16093750</v>
      </c>
      <c r="L9" s="83">
        <v>13232</v>
      </c>
      <c r="M9" s="84">
        <v>2381.7600000000002</v>
      </c>
      <c r="N9" s="84">
        <v>0</v>
      </c>
      <c r="O9" s="81">
        <f t="shared" si="0"/>
        <v>15613.76</v>
      </c>
      <c r="P9" s="55" t="s">
        <v>19</v>
      </c>
      <c r="Q9" s="52" t="s">
        <v>88</v>
      </c>
      <c r="R9" s="42">
        <v>10000000</v>
      </c>
      <c r="S9" s="254" t="s">
        <v>447</v>
      </c>
    </row>
    <row r="10" spans="1:19" ht="31" x14ac:dyDescent="0.35">
      <c r="B10" s="250">
        <v>5</v>
      </c>
      <c r="C10" s="82" t="s">
        <v>92</v>
      </c>
      <c r="D10" s="247">
        <v>2</v>
      </c>
      <c r="E10" s="247" t="s">
        <v>271</v>
      </c>
      <c r="F10" s="80">
        <v>1792124</v>
      </c>
      <c r="G10" s="80">
        <f>[5]Annexures!D172</f>
        <v>807562</v>
      </c>
      <c r="H10" s="80">
        <f>[5]Annexures!M172</f>
        <v>563910</v>
      </c>
      <c r="I10" s="80">
        <f>[5]Annexures!O172</f>
        <v>1800000</v>
      </c>
      <c r="J10" s="80">
        <f>[5]Annexures!P172</f>
        <v>641250</v>
      </c>
      <c r="K10" s="80">
        <f>[5]Annexures!Q172</f>
        <v>1158750</v>
      </c>
      <c r="L10" s="83">
        <v>2180</v>
      </c>
      <c r="M10" s="84">
        <v>392.4</v>
      </c>
      <c r="N10" s="84">
        <v>0</v>
      </c>
      <c r="O10" s="81">
        <f t="shared" si="0"/>
        <v>2572.4</v>
      </c>
      <c r="P10" s="55" t="s">
        <v>10</v>
      </c>
      <c r="Q10" s="246" t="s">
        <v>88</v>
      </c>
      <c r="R10" s="42">
        <v>500000</v>
      </c>
      <c r="S10" s="254" t="s">
        <v>448</v>
      </c>
    </row>
    <row r="11" spans="1:19" ht="31" x14ac:dyDescent="0.35">
      <c r="B11" s="250">
        <v>6</v>
      </c>
      <c r="C11" s="82" t="s">
        <v>93</v>
      </c>
      <c r="D11" s="247">
        <v>1</v>
      </c>
      <c r="E11" s="247" t="s">
        <v>271</v>
      </c>
      <c r="F11" s="80">
        <v>1525078</v>
      </c>
      <c r="G11" s="80">
        <f>687227</f>
        <v>687227</v>
      </c>
      <c r="H11" s="80">
        <v>479883</v>
      </c>
      <c r="I11" s="80">
        <v>1800000</v>
      </c>
      <c r="J11" s="80">
        <v>320625</v>
      </c>
      <c r="K11" s="80">
        <v>1158715</v>
      </c>
      <c r="L11" s="83">
        <v>2013</v>
      </c>
      <c r="M11" s="84">
        <v>362.34</v>
      </c>
      <c r="N11" s="83">
        <v>0</v>
      </c>
      <c r="O11" s="81">
        <f t="shared" si="0"/>
        <v>2375.34</v>
      </c>
      <c r="P11" s="55" t="s">
        <v>10</v>
      </c>
      <c r="Q11" s="246" t="s">
        <v>88</v>
      </c>
      <c r="R11" s="42">
        <v>500000</v>
      </c>
      <c r="S11" s="254" t="s">
        <v>448</v>
      </c>
    </row>
    <row r="12" spans="1:19" ht="29" x14ac:dyDescent="0.35">
      <c r="B12" s="250">
        <v>7</v>
      </c>
      <c r="C12" s="82" t="s">
        <v>94</v>
      </c>
      <c r="D12" s="247"/>
      <c r="E12" s="247" t="s">
        <v>268</v>
      </c>
      <c r="F12" s="80">
        <v>176200000</v>
      </c>
      <c r="G12" s="80">
        <f>[5]Annexures!D178</f>
        <v>183546150.33000001</v>
      </c>
      <c r="H12" s="80">
        <f>[5]Annexures!M178</f>
        <v>89889354.329999998</v>
      </c>
      <c r="I12" s="80">
        <v>183546150</v>
      </c>
      <c r="J12" s="80">
        <f>[5]Annexures!P178</f>
        <v>57475000</v>
      </c>
      <c r="K12" s="80">
        <v>145185004</v>
      </c>
      <c r="L12" s="83">
        <v>81493</v>
      </c>
      <c r="M12" s="84">
        <f t="shared" ref="M12:M19" si="1">L12*18/100</f>
        <v>14668.74</v>
      </c>
      <c r="N12" s="83">
        <v>0</v>
      </c>
      <c r="O12" s="81">
        <f t="shared" si="0"/>
        <v>96161.74</v>
      </c>
      <c r="P12" s="55" t="s">
        <v>19</v>
      </c>
      <c r="Q12" s="52" t="s">
        <v>18</v>
      </c>
      <c r="R12" s="42">
        <v>70000000</v>
      </c>
      <c r="S12" s="3" t="s">
        <v>449</v>
      </c>
    </row>
    <row r="13" spans="1:19" ht="29" x14ac:dyDescent="0.35">
      <c r="B13" s="250">
        <v>8</v>
      </c>
      <c r="C13" s="32" t="s">
        <v>95</v>
      </c>
      <c r="D13" s="79"/>
      <c r="E13" s="247" t="s">
        <v>268</v>
      </c>
      <c r="F13" s="80">
        <v>23000000</v>
      </c>
      <c r="G13" s="80">
        <f>[5]Annexures!D181</f>
        <v>52400000</v>
      </c>
      <c r="H13" s="80">
        <f>[5]Annexures!M181</f>
        <v>28195936</v>
      </c>
      <c r="I13" s="80">
        <f>[5]Annexures!O181</f>
        <v>75000000</v>
      </c>
      <c r="J13" s="80">
        <f>[5]Annexures!P181</f>
        <v>30281250</v>
      </c>
      <c r="K13" s="80">
        <f>[5]Annexures!Q181</f>
        <v>44718750</v>
      </c>
      <c r="L13" s="83">
        <v>10638</v>
      </c>
      <c r="M13" s="84">
        <f t="shared" si="1"/>
        <v>1914.84</v>
      </c>
      <c r="N13" s="83">
        <v>0</v>
      </c>
      <c r="O13" s="81">
        <f t="shared" si="0"/>
        <v>12552.84</v>
      </c>
      <c r="P13" s="55" t="s">
        <v>19</v>
      </c>
      <c r="Q13" s="52" t="s">
        <v>18</v>
      </c>
      <c r="R13" s="285">
        <v>0</v>
      </c>
      <c r="S13" s="254" t="s">
        <v>450</v>
      </c>
    </row>
    <row r="14" spans="1:19" ht="43.5" x14ac:dyDescent="0.35">
      <c r="B14" s="250">
        <v>9</v>
      </c>
      <c r="C14" s="32" t="s">
        <v>96</v>
      </c>
      <c r="D14" s="79"/>
      <c r="E14" s="247" t="s">
        <v>268</v>
      </c>
      <c r="F14" s="80">
        <v>1750000</v>
      </c>
      <c r="G14" s="80">
        <f>[5]Annexures!D184</f>
        <v>2731598</v>
      </c>
      <c r="H14" s="80">
        <f>[5]Annexures!M184</f>
        <v>1725327</v>
      </c>
      <c r="I14" s="80">
        <f>[5]Annexures!O184</f>
        <v>10000000</v>
      </c>
      <c r="J14" s="80">
        <f>[5]Annexures!P184</f>
        <v>3562500</v>
      </c>
      <c r="K14" s="80">
        <f>[5]Annexures!Q184</f>
        <v>6437500</v>
      </c>
      <c r="L14" s="83">
        <v>809</v>
      </c>
      <c r="M14" s="84">
        <f t="shared" si="1"/>
        <v>145.62</v>
      </c>
      <c r="N14" s="83">
        <v>0</v>
      </c>
      <c r="O14" s="81">
        <f t="shared" si="0"/>
        <v>954.62</v>
      </c>
      <c r="P14" s="55" t="s">
        <v>19</v>
      </c>
      <c r="Q14" s="52" t="s">
        <v>18</v>
      </c>
      <c r="R14" s="42">
        <v>600000</v>
      </c>
      <c r="S14" s="254" t="s">
        <v>451</v>
      </c>
    </row>
    <row r="15" spans="1:19" ht="29" x14ac:dyDescent="0.35">
      <c r="B15" s="250">
        <v>10</v>
      </c>
      <c r="C15" s="32" t="s">
        <v>97</v>
      </c>
      <c r="D15" s="79"/>
      <c r="E15" s="247" t="s">
        <v>268</v>
      </c>
      <c r="F15" s="80">
        <v>2555000</v>
      </c>
      <c r="G15" s="80">
        <f>[5]Annexures!D187</f>
        <v>6068816</v>
      </c>
      <c r="H15" s="80">
        <f>[5]Annexures!M187</f>
        <v>3099313</v>
      </c>
      <c r="I15" s="80">
        <v>3000000</v>
      </c>
      <c r="J15" s="80">
        <f>[5]Annexures!P187</f>
        <v>2992500</v>
      </c>
      <c r="K15" s="80">
        <v>150000</v>
      </c>
      <c r="L15" s="83">
        <v>1182</v>
      </c>
      <c r="M15" s="84">
        <f t="shared" si="1"/>
        <v>212.76</v>
      </c>
      <c r="N15" s="83">
        <v>0</v>
      </c>
      <c r="O15" s="81">
        <f t="shared" si="0"/>
        <v>1394.76</v>
      </c>
      <c r="P15" s="55" t="s">
        <v>19</v>
      </c>
      <c r="Q15" s="52" t="s">
        <v>18</v>
      </c>
      <c r="R15" s="286">
        <v>0</v>
      </c>
      <c r="S15" s="3" t="s">
        <v>452</v>
      </c>
    </row>
    <row r="16" spans="1:19" ht="29" x14ac:dyDescent="0.35">
      <c r="B16" s="250">
        <v>11</v>
      </c>
      <c r="C16" s="32" t="s">
        <v>98</v>
      </c>
      <c r="D16" s="79"/>
      <c r="E16" s="79"/>
      <c r="F16" s="80">
        <v>3000000</v>
      </c>
      <c r="G16" s="80">
        <f>[5]Annexures!D192</f>
        <v>4247897</v>
      </c>
      <c r="H16" s="80">
        <f>[5]Annexures!M192</f>
        <v>2</v>
      </c>
      <c r="I16" s="80">
        <f>[5]Annexures!O192</f>
        <v>4131000</v>
      </c>
      <c r="J16" s="80">
        <f>[5]Annexures!P192</f>
        <v>5044500</v>
      </c>
      <c r="K16" s="80">
        <v>212394</v>
      </c>
      <c r="L16" s="81">
        <v>1388</v>
      </c>
      <c r="M16" s="81">
        <f t="shared" si="1"/>
        <v>249.84</v>
      </c>
      <c r="N16" s="135">
        <v>0</v>
      </c>
      <c r="O16" s="81">
        <f t="shared" si="0"/>
        <v>1637.84</v>
      </c>
      <c r="P16" s="55" t="s">
        <v>19</v>
      </c>
      <c r="Q16" s="52" t="s">
        <v>18</v>
      </c>
      <c r="R16" s="286">
        <v>0</v>
      </c>
      <c r="S16" s="3" t="s">
        <v>452</v>
      </c>
    </row>
    <row r="17" spans="2:19" ht="43.5" x14ac:dyDescent="0.35">
      <c r="B17" s="187">
        <v>12</v>
      </c>
      <c r="C17" s="188" t="s">
        <v>99</v>
      </c>
      <c r="D17" s="189"/>
      <c r="E17" s="189"/>
      <c r="F17" s="190">
        <v>40000000</v>
      </c>
      <c r="G17" s="80">
        <v>42000000</v>
      </c>
      <c r="H17" s="80"/>
      <c r="I17" s="80">
        <v>68000000</v>
      </c>
      <c r="J17" s="80"/>
      <c r="K17" s="80">
        <v>48620000</v>
      </c>
      <c r="L17" s="81">
        <v>18500</v>
      </c>
      <c r="M17" s="81">
        <f t="shared" si="1"/>
        <v>3330</v>
      </c>
      <c r="N17" s="135">
        <v>0</v>
      </c>
      <c r="O17" s="81">
        <f t="shared" si="0"/>
        <v>21830</v>
      </c>
      <c r="P17" s="55" t="s">
        <v>19</v>
      </c>
      <c r="Q17" s="52" t="s">
        <v>18</v>
      </c>
      <c r="R17" s="42">
        <v>800000</v>
      </c>
      <c r="S17" s="254" t="s">
        <v>453</v>
      </c>
    </row>
    <row r="18" spans="2:19" ht="101.5" x14ac:dyDescent="0.35">
      <c r="B18" s="250">
        <v>13</v>
      </c>
      <c r="C18" s="32" t="s">
        <v>100</v>
      </c>
      <c r="D18" s="79"/>
      <c r="E18" s="79" t="s">
        <v>266</v>
      </c>
      <c r="F18" s="80">
        <v>12000000</v>
      </c>
      <c r="G18" s="80">
        <f>[5]Annexures!D197</f>
        <v>20606536.079999998</v>
      </c>
      <c r="H18" s="80">
        <f>[5]Annexures!M197</f>
        <v>11971068.08</v>
      </c>
      <c r="I18" s="80">
        <f>[5]Annexures!O197</f>
        <v>30000000</v>
      </c>
      <c r="J18" s="80">
        <f>[5]Annexures!P197</f>
        <v>0</v>
      </c>
      <c r="K18" s="80">
        <v>21450000</v>
      </c>
      <c r="L18" s="81">
        <v>5550</v>
      </c>
      <c r="M18" s="81">
        <f t="shared" si="1"/>
        <v>999</v>
      </c>
      <c r="N18" s="135">
        <v>0</v>
      </c>
      <c r="O18" s="81">
        <f t="shared" si="0"/>
        <v>6549</v>
      </c>
      <c r="P18" s="55" t="s">
        <v>19</v>
      </c>
      <c r="Q18" s="52" t="s">
        <v>18</v>
      </c>
      <c r="R18" s="42">
        <v>10000000</v>
      </c>
      <c r="S18" s="254" t="s">
        <v>454</v>
      </c>
    </row>
    <row r="19" spans="2:19" ht="60" customHeight="1" x14ac:dyDescent="0.35">
      <c r="B19" s="250">
        <v>14</v>
      </c>
      <c r="C19" s="139" t="s">
        <v>188</v>
      </c>
      <c r="D19" s="186"/>
      <c r="E19" s="186"/>
      <c r="F19" s="144">
        <v>2500000</v>
      </c>
      <c r="G19" s="80">
        <v>1460000</v>
      </c>
      <c r="H19" s="80"/>
      <c r="I19" s="80">
        <v>1500000</v>
      </c>
      <c r="J19" s="80">
        <f>I19-K19</f>
        <v>570000</v>
      </c>
      <c r="K19" s="80">
        <v>930000</v>
      </c>
      <c r="L19" s="81">
        <v>1156</v>
      </c>
      <c r="M19" s="81">
        <f t="shared" si="1"/>
        <v>208.08</v>
      </c>
      <c r="N19" s="135">
        <v>0</v>
      </c>
      <c r="O19" s="81">
        <f t="shared" si="0"/>
        <v>1364.08</v>
      </c>
      <c r="P19" s="55" t="s">
        <v>19</v>
      </c>
      <c r="Q19" s="52" t="s">
        <v>18</v>
      </c>
      <c r="R19" s="42">
        <v>500000</v>
      </c>
      <c r="S19" s="254" t="s">
        <v>455</v>
      </c>
    </row>
    <row r="20" spans="2:19" ht="15.5" x14ac:dyDescent="0.35">
      <c r="B20" s="250"/>
      <c r="C20" s="268" t="s">
        <v>150</v>
      </c>
      <c r="D20" s="250"/>
      <c r="E20" s="250"/>
      <c r="F20" s="58">
        <f t="shared" ref="F20:O20" si="2">SUM(F5:F19)</f>
        <v>449743140</v>
      </c>
      <c r="G20" s="58">
        <f t="shared" si="2"/>
        <v>444080178.87</v>
      </c>
      <c r="H20" s="58">
        <f t="shared" si="2"/>
        <v>182040632.08000001</v>
      </c>
      <c r="I20" s="58">
        <f t="shared" si="2"/>
        <v>633777150</v>
      </c>
      <c r="J20" s="58">
        <f t="shared" si="2"/>
        <v>219138875</v>
      </c>
      <c r="K20" s="58">
        <f t="shared" si="2"/>
        <v>355208613</v>
      </c>
      <c r="L20" s="58">
        <f t="shared" si="2"/>
        <v>219739</v>
      </c>
      <c r="M20" s="58">
        <f t="shared" si="2"/>
        <v>39553.020000000004</v>
      </c>
      <c r="N20" s="58">
        <f t="shared" si="2"/>
        <v>0</v>
      </c>
      <c r="O20" s="57">
        <f t="shared" si="2"/>
        <v>259292.02</v>
      </c>
      <c r="P20" s="55"/>
      <c r="Q20" s="33"/>
    </row>
    <row r="21" spans="2:19" ht="15.5" x14ac:dyDescent="0.35">
      <c r="B21" s="287"/>
      <c r="C21" s="288"/>
      <c r="D21" s="287"/>
      <c r="E21" s="287"/>
      <c r="F21" s="273"/>
      <c r="G21" s="273"/>
      <c r="H21" s="273"/>
      <c r="I21" s="273"/>
      <c r="J21" s="273"/>
      <c r="K21" s="273"/>
      <c r="L21" s="273"/>
      <c r="M21" s="273"/>
      <c r="N21" s="273"/>
      <c r="O21" s="289"/>
      <c r="P21" s="98"/>
      <c r="Q21" s="265"/>
    </row>
    <row r="22" spans="2:19" ht="58" x14ac:dyDescent="0.35">
      <c r="B22" s="287">
        <v>15</v>
      </c>
      <c r="C22" s="290" t="s">
        <v>456</v>
      </c>
      <c r="D22" s="287"/>
      <c r="E22" s="287"/>
      <c r="F22" s="273"/>
      <c r="G22" s="273">
        <v>9800000</v>
      </c>
      <c r="H22" s="273"/>
      <c r="I22" s="273">
        <v>7500000</v>
      </c>
      <c r="J22" s="273">
        <v>570000</v>
      </c>
      <c r="K22" s="273">
        <v>6930000</v>
      </c>
      <c r="L22" s="273"/>
      <c r="M22" s="273"/>
      <c r="N22" s="273"/>
      <c r="O22" s="289"/>
      <c r="P22" s="98"/>
      <c r="Q22" s="265"/>
      <c r="R22" s="3">
        <v>2500000</v>
      </c>
      <c r="S22" s="286" t="s">
        <v>457</v>
      </c>
    </row>
    <row r="23" spans="2:19" ht="58" x14ac:dyDescent="0.35">
      <c r="B23" s="287">
        <v>16</v>
      </c>
      <c r="C23" s="290" t="s">
        <v>458</v>
      </c>
      <c r="D23" s="287"/>
      <c r="E23" s="287"/>
      <c r="F23" s="273"/>
      <c r="G23" s="273">
        <v>5875000</v>
      </c>
      <c r="H23" s="273"/>
      <c r="I23" s="273">
        <v>5875000</v>
      </c>
      <c r="J23" s="273">
        <v>223250</v>
      </c>
      <c r="K23" s="273">
        <v>5651750</v>
      </c>
      <c r="L23" s="273"/>
      <c r="M23" s="273"/>
      <c r="N23" s="273"/>
      <c r="O23" s="289"/>
      <c r="P23" s="98"/>
      <c r="Q23" s="265"/>
      <c r="R23" s="3">
        <v>1500000</v>
      </c>
      <c r="S23" s="286" t="s">
        <v>459</v>
      </c>
    </row>
    <row r="24" spans="2:19" ht="168" customHeight="1" x14ac:dyDescent="0.35">
      <c r="B24" s="287">
        <v>17</v>
      </c>
      <c r="C24" s="290" t="s">
        <v>460</v>
      </c>
      <c r="D24" s="287"/>
      <c r="E24" s="287"/>
      <c r="F24" s="273"/>
      <c r="G24" s="273">
        <v>24600000</v>
      </c>
      <c r="H24" s="273"/>
      <c r="I24" s="273">
        <v>24600000</v>
      </c>
      <c r="J24" s="273">
        <f>I24-K24</f>
        <v>779000</v>
      </c>
      <c r="K24" s="273">
        <v>23821000</v>
      </c>
      <c r="L24" s="273"/>
      <c r="M24" s="273"/>
      <c r="N24" s="273"/>
      <c r="O24" s="289"/>
      <c r="P24" s="98"/>
      <c r="Q24" s="265"/>
      <c r="R24" s="3">
        <v>2500000</v>
      </c>
      <c r="S24" s="286" t="s">
        <v>461</v>
      </c>
    </row>
    <row r="25" spans="2:19" ht="58" x14ac:dyDescent="0.35">
      <c r="B25" s="287">
        <v>18</v>
      </c>
      <c r="C25" s="291" t="s">
        <v>462</v>
      </c>
      <c r="D25" s="287"/>
      <c r="E25" s="287"/>
      <c r="F25" s="273"/>
      <c r="G25" s="273">
        <v>2800000</v>
      </c>
      <c r="H25" s="273"/>
      <c r="I25" s="273">
        <v>2800000</v>
      </c>
      <c r="J25" s="273">
        <v>177333</v>
      </c>
      <c r="K25" s="3">
        <v>2622667</v>
      </c>
      <c r="L25" s="273"/>
      <c r="M25" s="273"/>
      <c r="N25" s="273"/>
      <c r="O25" s="289"/>
      <c r="P25" s="98"/>
      <c r="Q25" s="265"/>
      <c r="R25" s="3">
        <v>750000</v>
      </c>
      <c r="S25" s="254" t="s">
        <v>463</v>
      </c>
    </row>
    <row r="26" spans="2:19" ht="15.5" x14ac:dyDescent="0.35">
      <c r="B26" s="287"/>
      <c r="C26" s="288"/>
      <c r="D26" s="287"/>
      <c r="E26" s="287"/>
      <c r="F26" s="273"/>
      <c r="G26" s="273"/>
      <c r="H26" s="273"/>
      <c r="I26" s="273"/>
      <c r="J26" s="273"/>
      <c r="K26" s="273"/>
      <c r="L26" s="273"/>
      <c r="M26" s="273"/>
      <c r="N26" s="273"/>
      <c r="O26" s="289"/>
      <c r="P26" s="98"/>
      <c r="Q26" s="265"/>
    </row>
    <row r="29" spans="2:19" ht="75" customHeight="1" x14ac:dyDescent="0.35">
      <c r="C29" s="682" t="s">
        <v>364</v>
      </c>
      <c r="D29" s="682"/>
      <c r="E29" s="682"/>
      <c r="F29" s="682"/>
      <c r="G29" s="682"/>
      <c r="H29" s="682"/>
      <c r="I29" s="682"/>
      <c r="J29" s="682"/>
      <c r="K29" s="682"/>
    </row>
    <row r="30" spans="2:19" ht="43.5" customHeight="1" x14ac:dyDescent="0.35">
      <c r="C30" s="682" t="s">
        <v>365</v>
      </c>
      <c r="D30" s="682"/>
      <c r="E30" s="682"/>
      <c r="F30" s="682"/>
      <c r="G30" s="682"/>
      <c r="H30" s="682"/>
      <c r="I30" s="682"/>
      <c r="J30" s="682"/>
      <c r="K30" s="682"/>
    </row>
    <row r="32" spans="2:19" ht="47.25" customHeight="1" x14ac:dyDescent="0.35">
      <c r="C32" s="683" t="s">
        <v>366</v>
      </c>
      <c r="D32" s="683"/>
      <c r="E32" s="683"/>
      <c r="F32" s="683"/>
      <c r="G32" s="683"/>
      <c r="H32" s="683"/>
      <c r="I32" s="683"/>
      <c r="J32" s="683"/>
      <c r="K32" s="683"/>
      <c r="L32" s="76"/>
      <c r="N32" s="35"/>
    </row>
    <row r="33" spans="3:14" s="3" customFormat="1" ht="15.5" x14ac:dyDescent="0.35">
      <c r="C33" s="76"/>
      <c r="D33" s="77"/>
      <c r="E33" s="77"/>
      <c r="F33" s="76"/>
      <c r="G33" s="76"/>
      <c r="H33" s="76"/>
      <c r="I33" s="76"/>
      <c r="J33" s="76"/>
      <c r="K33" s="76"/>
      <c r="L33" s="76"/>
      <c r="M33" s="37"/>
      <c r="N33" s="35"/>
    </row>
    <row r="34" spans="3:14" s="3" customFormat="1" ht="15.5" x14ac:dyDescent="0.35">
      <c r="C34" s="76"/>
      <c r="D34" s="77"/>
      <c r="E34" s="77"/>
      <c r="F34" s="76"/>
      <c r="G34" s="76"/>
      <c r="H34" s="76"/>
      <c r="I34" s="76"/>
      <c r="J34" s="76"/>
      <c r="K34" s="76"/>
      <c r="L34" s="76"/>
      <c r="M34" s="37"/>
      <c r="N34" s="35"/>
    </row>
    <row r="35" spans="3:14" s="3" customFormat="1" ht="15.5" x14ac:dyDescent="0.35">
      <c r="C35" s="76"/>
      <c r="D35" s="76"/>
      <c r="E35" s="76"/>
      <c r="F35" s="76"/>
      <c r="G35" s="76"/>
      <c r="H35" s="76"/>
      <c r="I35" s="76"/>
      <c r="J35" s="76"/>
      <c r="K35" s="76"/>
      <c r="L35" s="76"/>
      <c r="M35" s="37"/>
      <c r="N35" s="35"/>
    </row>
    <row r="37" spans="3:14" s="3" customFormat="1" x14ac:dyDescent="0.35">
      <c r="C37" s="2"/>
      <c r="D37" s="2"/>
      <c r="E37" s="2"/>
      <c r="F37" s="50"/>
      <c r="G37" s="50"/>
      <c r="H37" s="50"/>
      <c r="I37" s="50"/>
      <c r="J37" s="50"/>
      <c r="K37" s="50"/>
      <c r="L37" s="50"/>
      <c r="M37" s="37"/>
      <c r="N37" s="37"/>
    </row>
  </sheetData>
  <mergeCells count="6">
    <mergeCell ref="C32:K32"/>
    <mergeCell ref="B2:Q2"/>
    <mergeCell ref="G3:H3"/>
    <mergeCell ref="I3:K3"/>
    <mergeCell ref="C29:K29"/>
    <mergeCell ref="C30:K30"/>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5"/>
  <sheetViews>
    <sheetView topLeftCell="A94" zoomScale="71" zoomScaleNormal="71" workbookViewId="0">
      <selection activeCell="G112" sqref="G112"/>
    </sheetView>
  </sheetViews>
  <sheetFormatPr defaultColWidth="9.1796875" defaultRowHeight="14.5" x14ac:dyDescent="0.35"/>
  <cols>
    <col min="1" max="1" width="3.54296875" style="3" customWidth="1"/>
    <col min="2" max="2" width="5.1796875" style="1" customWidth="1"/>
    <col min="3" max="3" width="45.7265625" style="2" customWidth="1"/>
    <col min="4" max="4" width="10.54296875" style="1" customWidth="1"/>
    <col min="5" max="5" width="9.81640625" style="1" customWidth="1"/>
    <col min="6" max="11" width="18.26953125" style="37" customWidth="1"/>
    <col min="12" max="12" width="15.1796875" style="37" customWidth="1"/>
    <col min="13" max="13" width="12.54296875" style="37" customWidth="1"/>
    <col min="14" max="14" width="12.81640625" style="37" customWidth="1"/>
    <col min="15" max="15" width="15.26953125" style="37" customWidth="1"/>
    <col min="16" max="16" width="23.7265625" style="3" customWidth="1"/>
    <col min="17" max="17" width="52" style="2" customWidth="1"/>
    <col min="18" max="18" width="11.1796875" style="3" bestFit="1" customWidth="1"/>
    <col min="19" max="16384" width="9.1796875" style="3"/>
  </cols>
  <sheetData>
    <row r="1" spans="1:18" x14ac:dyDescent="0.35">
      <c r="A1" s="3" t="s">
        <v>153</v>
      </c>
      <c r="F1" s="36"/>
      <c r="G1" s="36"/>
      <c r="H1" s="36"/>
      <c r="I1" s="36"/>
      <c r="J1" s="36"/>
      <c r="K1" s="36"/>
    </row>
    <row r="2" spans="1:18" ht="17" x14ac:dyDescent="0.35">
      <c r="B2" s="640" t="s">
        <v>157</v>
      </c>
      <c r="C2" s="640"/>
      <c r="D2" s="640"/>
      <c r="E2" s="640"/>
      <c r="F2" s="640"/>
      <c r="G2" s="640"/>
      <c r="H2" s="640"/>
      <c r="I2" s="640"/>
      <c r="J2" s="640"/>
      <c r="K2" s="640"/>
      <c r="L2" s="640"/>
      <c r="M2" s="640"/>
      <c r="N2" s="640"/>
      <c r="O2" s="640"/>
      <c r="P2" s="640"/>
      <c r="Q2" s="640"/>
    </row>
    <row r="3" spans="1:18" x14ac:dyDescent="0.35">
      <c r="B3" s="4"/>
      <c r="C3" s="4"/>
    </row>
    <row r="4" spans="1:18" s="5" customFormat="1" ht="36" customHeight="1" x14ac:dyDescent="0.35">
      <c r="B4" s="267" t="s">
        <v>0</v>
      </c>
      <c r="C4" s="268" t="s">
        <v>1</v>
      </c>
      <c r="D4" s="268" t="s">
        <v>2</v>
      </c>
      <c r="E4" s="268" t="s">
        <v>269</v>
      </c>
      <c r="F4" s="267" t="s">
        <v>155</v>
      </c>
      <c r="G4" s="74" t="s">
        <v>482</v>
      </c>
      <c r="H4" s="74" t="s">
        <v>483</v>
      </c>
      <c r="I4" s="358" t="s">
        <v>185</v>
      </c>
      <c r="J4" s="358" t="s">
        <v>186</v>
      </c>
      <c r="K4" s="358" t="s">
        <v>187</v>
      </c>
      <c r="L4" s="268" t="s">
        <v>4</v>
      </c>
      <c r="M4" s="268" t="s">
        <v>5</v>
      </c>
      <c r="N4" s="268" t="s">
        <v>6</v>
      </c>
      <c r="O4" s="268" t="s">
        <v>154</v>
      </c>
      <c r="P4" s="267" t="s">
        <v>3</v>
      </c>
      <c r="Q4" s="267" t="s">
        <v>156</v>
      </c>
    </row>
    <row r="5" spans="1:18" s="5" customFormat="1" ht="19.5" x14ac:dyDescent="0.35">
      <c r="B5" s="252" t="s">
        <v>7</v>
      </c>
      <c r="C5" s="75"/>
      <c r="D5" s="8"/>
      <c r="E5" s="8"/>
      <c r="F5" s="39"/>
      <c r="G5" s="39"/>
      <c r="H5" s="39"/>
      <c r="I5" s="39"/>
      <c r="J5" s="39"/>
      <c r="K5" s="39"/>
      <c r="L5" s="39"/>
      <c r="M5" s="39"/>
      <c r="N5" s="39"/>
      <c r="O5" s="39"/>
      <c r="P5" s="8"/>
      <c r="Q5" s="267"/>
    </row>
    <row r="6" spans="1:18" ht="48.75" customHeight="1" x14ac:dyDescent="0.35">
      <c r="B6" s="250">
        <v>1</v>
      </c>
      <c r="C6" s="82" t="s">
        <v>8</v>
      </c>
      <c r="D6" s="247">
        <v>1</v>
      </c>
      <c r="E6" s="247" t="s">
        <v>264</v>
      </c>
      <c r="F6" s="80">
        <v>200000000</v>
      </c>
      <c r="G6" s="80">
        <f>[6]Annexures!D5</f>
        <v>353344431</v>
      </c>
      <c r="H6" s="80">
        <f>[6]Annexures!M5</f>
        <v>1</v>
      </c>
      <c r="I6" s="80">
        <v>1800000000</v>
      </c>
      <c r="J6" s="80">
        <v>1482000000</v>
      </c>
      <c r="K6" s="80">
        <v>318000000</v>
      </c>
      <c r="L6" s="127">
        <v>264000</v>
      </c>
      <c r="M6" s="81">
        <f t="shared" ref="M6:M13" si="0">L6*18%</f>
        <v>47520</v>
      </c>
      <c r="N6" s="81">
        <v>20000</v>
      </c>
      <c r="O6" s="81">
        <f>L6+M6+N6</f>
        <v>331520</v>
      </c>
      <c r="P6" s="55" t="s">
        <v>10</v>
      </c>
      <c r="Q6" s="246" t="s">
        <v>9</v>
      </c>
      <c r="R6" s="42"/>
    </row>
    <row r="7" spans="1:18" ht="58" x14ac:dyDescent="0.35">
      <c r="B7" s="250">
        <v>2</v>
      </c>
      <c r="C7" s="82" t="s">
        <v>11</v>
      </c>
      <c r="D7" s="247">
        <v>1</v>
      </c>
      <c r="E7" s="247" t="s">
        <v>265</v>
      </c>
      <c r="F7" s="80">
        <v>30000000</v>
      </c>
      <c r="G7" s="80">
        <f>[6]Annexures!D10</f>
        <v>91839658.120000005</v>
      </c>
      <c r="H7" s="80">
        <f>[6]Annexures!M10</f>
        <v>2</v>
      </c>
      <c r="I7" s="80">
        <f>157797675+15953029</f>
        <v>173750704</v>
      </c>
      <c r="J7" s="80">
        <f>19987706+2020717</f>
        <v>22008423</v>
      </c>
      <c r="K7" s="80">
        <f>137809970+13932312</f>
        <v>151742282</v>
      </c>
      <c r="L7" s="81">
        <v>39000</v>
      </c>
      <c r="M7" s="81">
        <f t="shared" si="0"/>
        <v>7020</v>
      </c>
      <c r="N7" s="81">
        <v>3000</v>
      </c>
      <c r="O7" s="81">
        <f t="shared" ref="O7:O20" si="1">L7+M7+N7</f>
        <v>49020</v>
      </c>
      <c r="P7" s="55" t="s">
        <v>10</v>
      </c>
      <c r="Q7" s="246" t="s">
        <v>12</v>
      </c>
      <c r="R7" s="42"/>
    </row>
    <row r="8" spans="1:18" ht="43.5" x14ac:dyDescent="0.35">
      <c r="B8" s="250">
        <v>3</v>
      </c>
      <c r="C8" s="82" t="s">
        <v>13</v>
      </c>
      <c r="D8" s="247">
        <v>26</v>
      </c>
      <c r="E8" s="247" t="s">
        <v>265</v>
      </c>
      <c r="F8" s="80">
        <v>30000000</v>
      </c>
      <c r="G8" s="80">
        <f>17099808+25251924+557733+557733</f>
        <v>43467198</v>
      </c>
      <c r="H8" s="80">
        <f>1+13288076+232237+232237</f>
        <v>13752551</v>
      </c>
      <c r="I8" s="80">
        <f>43926111+35352694+935121+935121</f>
        <v>81149047</v>
      </c>
      <c r="J8" s="80">
        <f>[6]Annexures!P17</f>
        <v>12250172</v>
      </c>
      <c r="K8" s="80">
        <f>[6]Annexures!Q17</f>
        <v>68898875</v>
      </c>
      <c r="L8" s="81">
        <v>58650</v>
      </c>
      <c r="M8" s="81">
        <f t="shared" si="0"/>
        <v>10557</v>
      </c>
      <c r="N8" s="81">
        <v>3000</v>
      </c>
      <c r="O8" s="81">
        <f t="shared" si="1"/>
        <v>72207</v>
      </c>
      <c r="P8" s="55" t="s">
        <v>10</v>
      </c>
      <c r="Q8" s="246" t="s">
        <v>14</v>
      </c>
      <c r="R8" s="42"/>
    </row>
    <row r="9" spans="1:18" ht="15.5" x14ac:dyDescent="0.35">
      <c r="B9" s="250">
        <v>4</v>
      </c>
      <c r="C9" s="82" t="s">
        <v>15</v>
      </c>
      <c r="D9" s="247">
        <v>1</v>
      </c>
      <c r="E9" s="247" t="s">
        <v>266</v>
      </c>
      <c r="F9" s="80">
        <v>1425000</v>
      </c>
      <c r="G9" s="80">
        <f>2827981</f>
        <v>2827981</v>
      </c>
      <c r="H9" s="80">
        <v>1572048</v>
      </c>
      <c r="I9" s="80">
        <v>3500000</v>
      </c>
      <c r="J9" s="80">
        <v>0</v>
      </c>
      <c r="K9" s="80">
        <v>175000</v>
      </c>
      <c r="L9" s="81">
        <v>6163</v>
      </c>
      <c r="M9" s="81">
        <f t="shared" si="0"/>
        <v>1109.3399999999999</v>
      </c>
      <c r="N9" s="81">
        <v>0</v>
      </c>
      <c r="O9" s="81">
        <f t="shared" si="1"/>
        <v>7272.34</v>
      </c>
      <c r="P9" s="55" t="s">
        <v>10</v>
      </c>
      <c r="Q9" s="246" t="s">
        <v>16</v>
      </c>
      <c r="R9" s="42"/>
    </row>
    <row r="10" spans="1:18" ht="31" x14ac:dyDescent="0.35">
      <c r="B10" s="142">
        <v>5</v>
      </c>
      <c r="C10" s="128" t="s">
        <v>189</v>
      </c>
      <c r="D10" s="143">
        <v>1</v>
      </c>
      <c r="E10" s="143"/>
      <c r="F10" s="144">
        <v>2375000</v>
      </c>
      <c r="G10" s="80"/>
      <c r="H10" s="80"/>
      <c r="I10" s="80"/>
      <c r="J10" s="80"/>
      <c r="K10" s="80"/>
      <c r="L10" s="81">
        <v>1098</v>
      </c>
      <c r="M10" s="81">
        <f t="shared" si="0"/>
        <v>197.64</v>
      </c>
      <c r="N10" s="81">
        <v>0</v>
      </c>
      <c r="O10" s="81">
        <f t="shared" si="1"/>
        <v>1295.6399999999999</v>
      </c>
      <c r="P10" s="55" t="s">
        <v>19</v>
      </c>
      <c r="Q10" s="246" t="s">
        <v>18</v>
      </c>
      <c r="R10" s="42"/>
    </row>
    <row r="11" spans="1:18" ht="15.5" x14ac:dyDescent="0.35">
      <c r="B11" s="250">
        <v>6</v>
      </c>
      <c r="C11" s="82" t="s">
        <v>20</v>
      </c>
      <c r="D11" s="247">
        <v>1</v>
      </c>
      <c r="E11" s="247" t="s">
        <v>265</v>
      </c>
      <c r="F11" s="80">
        <v>2500000</v>
      </c>
      <c r="G11" s="80">
        <v>4202075</v>
      </c>
      <c r="H11" s="80">
        <v>1</v>
      </c>
      <c r="I11" s="80">
        <v>6394462</v>
      </c>
      <c r="J11" s="80">
        <v>647972</v>
      </c>
      <c r="K11" s="80">
        <v>5746490</v>
      </c>
      <c r="L11" s="81">
        <v>11969</v>
      </c>
      <c r="M11" s="81">
        <f t="shared" si="0"/>
        <v>2154.42</v>
      </c>
      <c r="N11" s="81">
        <v>0</v>
      </c>
      <c r="O11" s="81">
        <f t="shared" si="1"/>
        <v>14123.42</v>
      </c>
      <c r="P11" s="55" t="s">
        <v>10</v>
      </c>
      <c r="Q11" s="246" t="s">
        <v>21</v>
      </c>
      <c r="R11" s="42"/>
    </row>
    <row r="12" spans="1:18" ht="15.5" x14ac:dyDescent="0.35">
      <c r="B12" s="250">
        <v>7</v>
      </c>
      <c r="C12" s="82" t="s">
        <v>22</v>
      </c>
      <c r="D12" s="247"/>
      <c r="E12" s="247" t="s">
        <v>267</v>
      </c>
      <c r="F12" s="80">
        <v>23750000</v>
      </c>
      <c r="G12" s="80">
        <v>35340810</v>
      </c>
      <c r="H12" s="80">
        <v>17629525</v>
      </c>
      <c r="I12" s="80">
        <v>41231000</v>
      </c>
      <c r="J12" s="80">
        <v>3916945</v>
      </c>
      <c r="K12" s="80">
        <v>37314055</v>
      </c>
      <c r="L12" s="81">
        <v>118750</v>
      </c>
      <c r="M12" s="81">
        <f t="shared" si="0"/>
        <v>21375</v>
      </c>
      <c r="N12" s="81">
        <v>0</v>
      </c>
      <c r="O12" s="81">
        <f t="shared" si="1"/>
        <v>140125</v>
      </c>
      <c r="P12" s="55" t="s">
        <v>19</v>
      </c>
      <c r="Q12" s="246" t="s">
        <v>23</v>
      </c>
      <c r="R12" s="42"/>
    </row>
    <row r="13" spans="1:18" ht="31" x14ac:dyDescent="0.35">
      <c r="B13" s="250">
        <v>8</v>
      </c>
      <c r="C13" s="129" t="s">
        <v>24</v>
      </c>
      <c r="D13" s="130"/>
      <c r="E13" s="247" t="s">
        <v>268</v>
      </c>
      <c r="F13" s="131">
        <v>43400000</v>
      </c>
      <c r="G13" s="131">
        <v>57945859</v>
      </c>
      <c r="H13" s="131">
        <v>32568951</v>
      </c>
      <c r="I13" s="131">
        <v>68000000</v>
      </c>
      <c r="J13" s="131">
        <v>14535000</v>
      </c>
      <c r="K13" s="131">
        <v>53465000</v>
      </c>
      <c r="L13" s="81">
        <v>20073</v>
      </c>
      <c r="M13" s="81">
        <f t="shared" si="0"/>
        <v>3613.14</v>
      </c>
      <c r="N13" s="81"/>
      <c r="O13" s="81">
        <f t="shared" si="1"/>
        <v>23686.14</v>
      </c>
      <c r="P13" s="55" t="s">
        <v>19</v>
      </c>
      <c r="Q13" s="246" t="s">
        <v>25</v>
      </c>
      <c r="R13" s="42"/>
    </row>
    <row r="14" spans="1:18" ht="15.5" x14ac:dyDescent="0.35">
      <c r="B14" s="132" t="s">
        <v>26</v>
      </c>
      <c r="C14" s="55"/>
      <c r="D14" s="247"/>
      <c r="E14" s="247"/>
      <c r="F14" s="80"/>
      <c r="G14" s="80"/>
      <c r="H14" s="80"/>
      <c r="I14" s="80"/>
      <c r="J14" s="80"/>
      <c r="K14" s="80"/>
      <c r="L14" s="53"/>
      <c r="M14" s="53"/>
      <c r="N14" s="53"/>
      <c r="O14" s="81"/>
      <c r="P14" s="55"/>
      <c r="Q14" s="52"/>
      <c r="R14" s="42"/>
    </row>
    <row r="15" spans="1:18" ht="43.5" x14ac:dyDescent="0.35">
      <c r="B15" s="250">
        <v>9</v>
      </c>
      <c r="C15" s="82" t="s">
        <v>27</v>
      </c>
      <c r="D15" s="247">
        <v>1</v>
      </c>
      <c r="E15" s="679" t="s">
        <v>264</v>
      </c>
      <c r="F15" s="80">
        <v>7600000</v>
      </c>
      <c r="G15" s="80">
        <f>12251697+2850</f>
        <v>12254547</v>
      </c>
      <c r="H15" s="80">
        <f>5999973+1475</f>
        <v>6001448</v>
      </c>
      <c r="I15" s="80">
        <f>6917197*2</f>
        <v>13834394</v>
      </c>
      <c r="J15" s="80">
        <f>2190446*2</f>
        <v>4380892</v>
      </c>
      <c r="K15" s="80">
        <f>4726751*2</f>
        <v>9453502</v>
      </c>
      <c r="L15" s="81">
        <v>38000</v>
      </c>
      <c r="M15" s="81">
        <f>L15*18%</f>
        <v>6840</v>
      </c>
      <c r="N15" s="81">
        <v>760</v>
      </c>
      <c r="O15" s="81">
        <f t="shared" si="1"/>
        <v>45600</v>
      </c>
      <c r="P15" s="55" t="s">
        <v>19</v>
      </c>
      <c r="Q15" s="246" t="s">
        <v>14</v>
      </c>
      <c r="R15" s="42"/>
    </row>
    <row r="16" spans="1:18" ht="29" x14ac:dyDescent="0.35">
      <c r="B16" s="250">
        <v>10</v>
      </c>
      <c r="C16" s="82" t="s">
        <v>28</v>
      </c>
      <c r="D16" s="247">
        <v>1</v>
      </c>
      <c r="E16" s="680"/>
      <c r="F16" s="80">
        <v>950000</v>
      </c>
      <c r="G16" s="80">
        <v>2577417</v>
      </c>
      <c r="H16" s="80">
        <v>1262283</v>
      </c>
      <c r="I16" s="80">
        <v>2900000</v>
      </c>
      <c r="J16" s="80">
        <v>918333</v>
      </c>
      <c r="K16" s="80">
        <v>1981667</v>
      </c>
      <c r="L16" s="81">
        <v>1425</v>
      </c>
      <c r="M16" s="81">
        <f>L16*18%</f>
        <v>256.5</v>
      </c>
      <c r="N16" s="81">
        <v>95</v>
      </c>
      <c r="O16" s="81">
        <f t="shared" si="1"/>
        <v>1776.5</v>
      </c>
      <c r="P16" s="55" t="s">
        <v>19</v>
      </c>
      <c r="Q16" s="246" t="s">
        <v>9</v>
      </c>
      <c r="R16" s="42"/>
    </row>
    <row r="17" spans="2:18" ht="15.5" x14ac:dyDescent="0.35">
      <c r="B17" s="132" t="s">
        <v>29</v>
      </c>
      <c r="C17" s="55"/>
      <c r="D17" s="247"/>
      <c r="E17" s="680"/>
      <c r="F17" s="80"/>
      <c r="G17" s="80"/>
      <c r="H17" s="80"/>
      <c r="I17" s="80"/>
      <c r="J17" s="80"/>
      <c r="K17" s="80"/>
      <c r="L17" s="53"/>
      <c r="M17" s="53"/>
      <c r="N17" s="53"/>
      <c r="O17" s="81"/>
      <c r="P17" s="55"/>
      <c r="Q17" s="52"/>
      <c r="R17" s="42"/>
    </row>
    <row r="18" spans="2:18" ht="15.5" x14ac:dyDescent="0.35">
      <c r="B18" s="250">
        <v>11</v>
      </c>
      <c r="C18" s="82" t="s">
        <v>30</v>
      </c>
      <c r="D18" s="247">
        <v>1</v>
      </c>
      <c r="E18" s="680"/>
      <c r="F18" s="80">
        <v>250000000</v>
      </c>
      <c r="G18" s="80">
        <v>405113094</v>
      </c>
      <c r="H18" s="80">
        <v>205394975</v>
      </c>
      <c r="I18" s="80">
        <v>450000000</v>
      </c>
      <c r="J18" s="80">
        <v>128250000</v>
      </c>
      <c r="K18" s="80">
        <v>321750000</v>
      </c>
      <c r="L18" s="81">
        <v>625000</v>
      </c>
      <c r="M18" s="81">
        <f>L18*18%</f>
        <v>112500</v>
      </c>
      <c r="N18" s="81">
        <v>25000</v>
      </c>
      <c r="O18" s="81">
        <f t="shared" si="1"/>
        <v>762500</v>
      </c>
      <c r="P18" s="55" t="s">
        <v>19</v>
      </c>
      <c r="Q18" s="246" t="s">
        <v>31</v>
      </c>
      <c r="R18" s="42"/>
    </row>
    <row r="19" spans="2:18" ht="15.5" x14ac:dyDescent="0.35">
      <c r="B19" s="250">
        <v>12</v>
      </c>
      <c r="C19" s="82" t="s">
        <v>32</v>
      </c>
      <c r="D19" s="247">
        <v>1</v>
      </c>
      <c r="E19" s="680"/>
      <c r="F19" s="80">
        <v>250000000</v>
      </c>
      <c r="G19" s="80">
        <v>405113094</v>
      </c>
      <c r="H19" s="80">
        <v>210773714</v>
      </c>
      <c r="I19" s="80">
        <v>450000000</v>
      </c>
      <c r="J19" s="80">
        <v>128250000</v>
      </c>
      <c r="K19" s="80">
        <v>321750000</v>
      </c>
      <c r="L19" s="81">
        <f>'[2]Asset wise break up'!G127</f>
        <v>625000</v>
      </c>
      <c r="M19" s="81">
        <f>L19*18%</f>
        <v>112500</v>
      </c>
      <c r="N19" s="81">
        <v>25000</v>
      </c>
      <c r="O19" s="81">
        <f t="shared" si="1"/>
        <v>762500</v>
      </c>
      <c r="P19" s="55" t="s">
        <v>19</v>
      </c>
      <c r="Q19" s="246" t="s">
        <v>31</v>
      </c>
      <c r="R19" s="42"/>
    </row>
    <row r="20" spans="2:18" ht="15.5" x14ac:dyDescent="0.35">
      <c r="B20" s="250">
        <v>13</v>
      </c>
      <c r="C20" s="82" t="s">
        <v>33</v>
      </c>
      <c r="D20" s="247">
        <v>1</v>
      </c>
      <c r="E20" s="681"/>
      <c r="F20" s="80">
        <v>30000000</v>
      </c>
      <c r="G20" s="80">
        <v>146364554</v>
      </c>
      <c r="H20" s="80">
        <v>1</v>
      </c>
      <c r="I20" s="80">
        <v>20000000</v>
      </c>
      <c r="J20" s="80">
        <v>13300000</v>
      </c>
      <c r="K20" s="80">
        <v>6700000</v>
      </c>
      <c r="L20" s="81">
        <f>'[2]Asset wise break up'!G138</f>
        <v>75000</v>
      </c>
      <c r="M20" s="81">
        <f>L20*18%</f>
        <v>13500</v>
      </c>
      <c r="N20" s="81">
        <v>3000</v>
      </c>
      <c r="O20" s="81">
        <f t="shared" si="1"/>
        <v>91500</v>
      </c>
      <c r="P20" s="55" t="s">
        <v>19</v>
      </c>
      <c r="Q20" s="246" t="s">
        <v>31</v>
      </c>
      <c r="R20" s="42"/>
    </row>
    <row r="21" spans="2:18" ht="19.5" x14ac:dyDescent="0.35">
      <c r="B21" s="133" t="s">
        <v>34</v>
      </c>
      <c r="C21" s="82"/>
      <c r="D21" s="247"/>
      <c r="E21" s="247"/>
      <c r="F21" s="80"/>
      <c r="G21" s="80"/>
      <c r="H21" s="80"/>
      <c r="I21" s="80"/>
      <c r="J21" s="80"/>
      <c r="K21" s="80"/>
      <c r="L21" s="53"/>
      <c r="M21" s="53"/>
      <c r="N21" s="53"/>
      <c r="O21" s="53"/>
      <c r="P21" s="55"/>
      <c r="Q21" s="52"/>
      <c r="R21" s="42"/>
    </row>
    <row r="22" spans="2:18" ht="15.5" x14ac:dyDescent="0.35">
      <c r="B22" s="132" t="s">
        <v>35</v>
      </c>
      <c r="C22" s="55"/>
      <c r="D22" s="247"/>
      <c r="E22" s="247"/>
      <c r="F22" s="80"/>
      <c r="G22" s="80"/>
      <c r="H22" s="80"/>
      <c r="I22" s="80"/>
      <c r="J22" s="80"/>
      <c r="K22" s="80"/>
      <c r="L22" s="53"/>
      <c r="M22" s="53"/>
      <c r="N22" s="53"/>
      <c r="O22" s="53"/>
      <c r="P22" s="55"/>
      <c r="Q22" s="52"/>
      <c r="R22" s="42"/>
    </row>
    <row r="23" spans="2:18" ht="43.5" x14ac:dyDescent="0.35">
      <c r="B23" s="250">
        <v>1</v>
      </c>
      <c r="C23" s="82" t="s">
        <v>36</v>
      </c>
      <c r="D23" s="247"/>
      <c r="E23" s="247" t="s">
        <v>270</v>
      </c>
      <c r="F23" s="80">
        <v>110000000</v>
      </c>
      <c r="G23" s="80">
        <f>82479426+14210891+13103844+315000</f>
        <v>110109161</v>
      </c>
      <c r="H23" s="80">
        <f>46951619+4130997+2833293+129570</f>
        <v>54045479</v>
      </c>
      <c r="I23" s="80">
        <f>692238040+21625269+21970517+400909</f>
        <v>736234735</v>
      </c>
      <c r="J23" s="80">
        <f>542541564+3595201+4174398+47608</f>
        <v>550358771</v>
      </c>
      <c r="K23" s="80">
        <f>149696476+18030068+17796118+353301</f>
        <v>185875963</v>
      </c>
      <c r="L23" s="81">
        <v>22044</v>
      </c>
      <c r="M23" s="81">
        <f>L23*18%</f>
        <v>3967.92</v>
      </c>
      <c r="N23" s="81">
        <v>0</v>
      </c>
      <c r="O23" s="81">
        <f>L23+M23+N23</f>
        <v>26011.919999999998</v>
      </c>
      <c r="P23" s="55" t="s">
        <v>19</v>
      </c>
      <c r="Q23" s="246" t="s">
        <v>37</v>
      </c>
      <c r="R23" s="42"/>
    </row>
    <row r="24" spans="2:18" ht="19.5" x14ac:dyDescent="0.35">
      <c r="B24" s="133" t="s">
        <v>38</v>
      </c>
      <c r="C24" s="82"/>
      <c r="D24" s="247"/>
      <c r="E24" s="247"/>
      <c r="F24" s="80"/>
      <c r="G24" s="80"/>
      <c r="H24" s="80"/>
      <c r="I24" s="80"/>
      <c r="J24" s="80"/>
      <c r="K24" s="80"/>
      <c r="L24" s="53"/>
      <c r="M24" s="53"/>
      <c r="N24" s="53"/>
      <c r="O24" s="53"/>
      <c r="P24" s="55"/>
      <c r="Q24" s="52"/>
      <c r="R24" s="42"/>
    </row>
    <row r="25" spans="2:18" ht="15.5" x14ac:dyDescent="0.35">
      <c r="B25" s="132" t="s">
        <v>39</v>
      </c>
      <c r="C25" s="55"/>
      <c r="D25" s="247"/>
      <c r="E25" s="247"/>
      <c r="F25" s="80"/>
      <c r="G25" s="80"/>
      <c r="H25" s="80"/>
      <c r="I25" s="80"/>
      <c r="J25" s="80"/>
      <c r="K25" s="80"/>
      <c r="L25" s="53"/>
      <c r="M25" s="53"/>
      <c r="N25" s="53"/>
      <c r="O25" s="53"/>
      <c r="P25" s="55"/>
      <c r="Q25" s="52"/>
      <c r="R25" s="42"/>
    </row>
    <row r="26" spans="2:18" ht="15.5" x14ac:dyDescent="0.35">
      <c r="B26" s="132" t="s">
        <v>40</v>
      </c>
      <c r="C26" s="134"/>
      <c r="D26" s="247"/>
      <c r="E26" s="247"/>
      <c r="F26" s="80"/>
      <c r="G26" s="80"/>
      <c r="H26" s="80"/>
      <c r="I26" s="80"/>
      <c r="J26" s="80"/>
      <c r="K26" s="80"/>
      <c r="L26" s="53"/>
      <c r="M26" s="53"/>
      <c r="N26" s="53"/>
      <c r="O26" s="53"/>
      <c r="P26" s="55"/>
      <c r="Q26" s="52"/>
      <c r="R26" s="42"/>
    </row>
    <row r="27" spans="2:18" ht="31" x14ac:dyDescent="0.35">
      <c r="B27" s="690">
        <v>1</v>
      </c>
      <c r="C27" s="82" t="s">
        <v>282</v>
      </c>
      <c r="D27" s="247" t="s">
        <v>43</v>
      </c>
      <c r="E27" s="679" t="s">
        <v>267</v>
      </c>
      <c r="F27" s="80">
        <v>6032000</v>
      </c>
      <c r="G27" s="629">
        <f>[6]Annexures!D67</f>
        <v>1198606</v>
      </c>
      <c r="H27" s="629">
        <f>[6]Annexures!M67</f>
        <v>3</v>
      </c>
      <c r="I27" s="629">
        <f>37000+9000+14000</f>
        <v>60000</v>
      </c>
      <c r="J27" s="629">
        <v>0</v>
      </c>
      <c r="K27" s="629">
        <f>37000+9000+14000</f>
        <v>60000</v>
      </c>
      <c r="L27" s="53">
        <v>3921</v>
      </c>
      <c r="M27" s="53">
        <v>706</v>
      </c>
      <c r="N27" s="53"/>
      <c r="O27" s="81">
        <f t="shared" ref="O27:O33" si="2">L27+M27+N27</f>
        <v>4627</v>
      </c>
      <c r="P27" s="55" t="s">
        <v>44</v>
      </c>
      <c r="Q27" s="246" t="s">
        <v>42</v>
      </c>
      <c r="R27" s="42"/>
    </row>
    <row r="28" spans="2:18" ht="31" x14ac:dyDescent="0.35">
      <c r="B28" s="691"/>
      <c r="C28" s="82" t="s">
        <v>277</v>
      </c>
      <c r="D28" s="247" t="s">
        <v>51</v>
      </c>
      <c r="E28" s="681"/>
      <c r="F28" s="80">
        <v>22560000</v>
      </c>
      <c r="G28" s="631"/>
      <c r="H28" s="631"/>
      <c r="I28" s="631"/>
      <c r="J28" s="631"/>
      <c r="K28" s="631"/>
      <c r="L28" s="81">
        <v>14664</v>
      </c>
      <c r="M28" s="81">
        <f>L28*18%</f>
        <v>2639.52</v>
      </c>
      <c r="N28" s="135">
        <v>0</v>
      </c>
      <c r="O28" s="81">
        <f>L28+M28+N28</f>
        <v>17303.52</v>
      </c>
      <c r="P28" s="55" t="s">
        <v>44</v>
      </c>
      <c r="Q28" s="246" t="s">
        <v>42</v>
      </c>
      <c r="R28" s="42"/>
    </row>
    <row r="29" spans="2:18" ht="31" x14ac:dyDescent="0.35">
      <c r="B29" s="690">
        <v>2</v>
      </c>
      <c r="C29" s="82" t="s">
        <v>283</v>
      </c>
      <c r="D29" s="247" t="s">
        <v>46</v>
      </c>
      <c r="E29" s="679" t="s">
        <v>267</v>
      </c>
      <c r="F29" s="80">
        <v>2720000</v>
      </c>
      <c r="G29" s="629">
        <f>[6]Annexures!D78</f>
        <v>8975185.1099999994</v>
      </c>
      <c r="H29" s="629">
        <f>[6]Annexures!M78</f>
        <v>1990756.1099999999</v>
      </c>
      <c r="I29" s="629">
        <f>30282000+3000+20342000+6813000+8946000+230000+937000+15984000</f>
        <v>83537000</v>
      </c>
      <c r="J29" s="629">
        <f>25891110+12754434+4271751+5609142+144210+587499+10021968</f>
        <v>59280114</v>
      </c>
      <c r="K29" s="629">
        <f>4390890+3000+7587566+2541249+54085+85790+349501+5962032</f>
        <v>20974113</v>
      </c>
      <c r="L29" s="81">
        <v>1768</v>
      </c>
      <c r="M29" s="81">
        <f>L29*18%</f>
        <v>318.24</v>
      </c>
      <c r="N29" s="81">
        <v>0</v>
      </c>
      <c r="O29" s="81">
        <f t="shared" si="2"/>
        <v>2086.2399999999998</v>
      </c>
      <c r="P29" s="55" t="s">
        <v>44</v>
      </c>
      <c r="Q29" s="246" t="s">
        <v>42</v>
      </c>
      <c r="R29" s="42"/>
    </row>
    <row r="30" spans="2:18" ht="31" x14ac:dyDescent="0.35">
      <c r="B30" s="691"/>
      <c r="C30" s="82" t="s">
        <v>484</v>
      </c>
      <c r="D30" s="247" t="s">
        <v>53</v>
      </c>
      <c r="E30" s="681"/>
      <c r="F30" s="80">
        <v>10320000</v>
      </c>
      <c r="G30" s="631"/>
      <c r="H30" s="631"/>
      <c r="I30" s="631"/>
      <c r="J30" s="631"/>
      <c r="K30" s="631"/>
      <c r="L30" s="81">
        <v>6708</v>
      </c>
      <c r="M30" s="81">
        <f>L30*18%</f>
        <v>1207.44</v>
      </c>
      <c r="N30" s="135">
        <v>0</v>
      </c>
      <c r="O30" s="81">
        <f>L30+M30+N30</f>
        <v>7915.4400000000005</v>
      </c>
      <c r="P30" s="55" t="s">
        <v>44</v>
      </c>
      <c r="Q30" s="246" t="s">
        <v>42</v>
      </c>
      <c r="R30" s="42"/>
    </row>
    <row r="31" spans="2:18" ht="29" x14ac:dyDescent="0.35">
      <c r="B31" s="250">
        <v>3</v>
      </c>
      <c r="C31" s="55" t="s">
        <v>47</v>
      </c>
      <c r="D31" s="79" t="s">
        <v>307</v>
      </c>
      <c r="E31" s="250" t="s">
        <v>267</v>
      </c>
      <c r="F31" s="80">
        <v>3248000</v>
      </c>
      <c r="G31" s="80">
        <f>[6]Annexures!D85</f>
        <v>3090011</v>
      </c>
      <c r="H31" s="80">
        <f>[6]Annexures!M85</f>
        <v>1485816</v>
      </c>
      <c r="I31" s="80">
        <f>6083000+1574000+6037000+5170000</f>
        <v>18864000</v>
      </c>
      <c r="J31" s="80">
        <f>4969811+179436+3785199+3241590</f>
        <v>12176036</v>
      </c>
      <c r="K31" s="80">
        <f>1928410+2251801+1113189+1394564</f>
        <v>6687964</v>
      </c>
      <c r="L31" s="81">
        <v>2111</v>
      </c>
      <c r="M31" s="81">
        <f>L31*18%</f>
        <v>379.97999999999996</v>
      </c>
      <c r="N31" s="81">
        <v>0</v>
      </c>
      <c r="O31" s="81">
        <f t="shared" si="2"/>
        <v>2490.98</v>
      </c>
      <c r="P31" s="55" t="s">
        <v>44</v>
      </c>
      <c r="Q31" s="246" t="s">
        <v>42</v>
      </c>
      <c r="R31" s="42"/>
    </row>
    <row r="32" spans="2:18" ht="15.5" x14ac:dyDescent="0.35">
      <c r="B32" s="132" t="s">
        <v>49</v>
      </c>
      <c r="C32" s="55"/>
      <c r="D32" s="250"/>
      <c r="E32" s="250"/>
      <c r="F32" s="80"/>
      <c r="G32" s="80"/>
      <c r="H32" s="80"/>
      <c r="I32" s="80"/>
      <c r="J32" s="80"/>
      <c r="K32" s="80"/>
      <c r="L32" s="53"/>
      <c r="M32" s="53"/>
      <c r="N32" s="53"/>
      <c r="O32" s="81"/>
      <c r="P32" s="55"/>
      <c r="Q32" s="52"/>
      <c r="R32" s="42"/>
    </row>
    <row r="33" spans="2:18" ht="31" x14ac:dyDescent="0.35">
      <c r="B33" s="250">
        <v>6</v>
      </c>
      <c r="C33" s="82" t="s">
        <v>54</v>
      </c>
      <c r="D33" s="247" t="s">
        <v>55</v>
      </c>
      <c r="E33" s="247"/>
      <c r="F33" s="642">
        <v>18624000</v>
      </c>
      <c r="G33" s="642">
        <f>[6]Annexures!D92</f>
        <v>1948190</v>
      </c>
      <c r="H33" s="642">
        <f>[6]Annexures!M92</f>
        <v>4</v>
      </c>
      <c r="I33" s="642">
        <f>9000+24000+18000+47000</f>
        <v>98000</v>
      </c>
      <c r="J33" s="642">
        <v>0</v>
      </c>
      <c r="K33" s="642">
        <f>9000+24000+18000+47000</f>
        <v>98000</v>
      </c>
      <c r="L33" s="633">
        <v>12106</v>
      </c>
      <c r="M33" s="633">
        <f>L33*18%</f>
        <v>2179.08</v>
      </c>
      <c r="N33" s="627">
        <v>0</v>
      </c>
      <c r="O33" s="634">
        <f t="shared" si="2"/>
        <v>14285.08</v>
      </c>
      <c r="P33" s="635" t="s">
        <v>44</v>
      </c>
      <c r="Q33" s="668" t="s">
        <v>42</v>
      </c>
      <c r="R33" s="42"/>
    </row>
    <row r="34" spans="2:18" ht="31" x14ac:dyDescent="0.35">
      <c r="B34" s="250">
        <v>7</v>
      </c>
      <c r="C34" s="82" t="s">
        <v>56</v>
      </c>
      <c r="D34" s="247" t="s">
        <v>57</v>
      </c>
      <c r="E34" s="247"/>
      <c r="F34" s="642"/>
      <c r="G34" s="642"/>
      <c r="H34" s="642"/>
      <c r="I34" s="642"/>
      <c r="J34" s="642"/>
      <c r="K34" s="642"/>
      <c r="L34" s="633"/>
      <c r="M34" s="633"/>
      <c r="N34" s="627"/>
      <c r="O34" s="634"/>
      <c r="P34" s="635"/>
      <c r="Q34" s="668"/>
      <c r="R34" s="42"/>
    </row>
    <row r="35" spans="2:18" ht="31" x14ac:dyDescent="0.35">
      <c r="B35" s="250">
        <v>8</v>
      </c>
      <c r="C35" s="82" t="s">
        <v>58</v>
      </c>
      <c r="D35" s="247" t="s">
        <v>59</v>
      </c>
      <c r="E35" s="247"/>
      <c r="F35" s="642"/>
      <c r="G35" s="642"/>
      <c r="H35" s="642"/>
      <c r="I35" s="642"/>
      <c r="J35" s="642"/>
      <c r="K35" s="642"/>
      <c r="L35" s="633"/>
      <c r="M35" s="633"/>
      <c r="N35" s="627"/>
      <c r="O35" s="634"/>
      <c r="P35" s="635"/>
      <c r="Q35" s="668"/>
      <c r="R35" s="42"/>
    </row>
    <row r="36" spans="2:18" ht="31" x14ac:dyDescent="0.35">
      <c r="B36" s="250">
        <v>9</v>
      </c>
      <c r="C36" s="82" t="s">
        <v>60</v>
      </c>
      <c r="D36" s="247" t="s">
        <v>61</v>
      </c>
      <c r="E36" s="247"/>
      <c r="F36" s="642"/>
      <c r="G36" s="642"/>
      <c r="H36" s="642"/>
      <c r="I36" s="642"/>
      <c r="J36" s="642"/>
      <c r="K36" s="642"/>
      <c r="L36" s="633"/>
      <c r="M36" s="633"/>
      <c r="N36" s="627"/>
      <c r="O36" s="634"/>
      <c r="P36" s="635"/>
      <c r="Q36" s="668"/>
      <c r="R36" s="42"/>
    </row>
    <row r="37" spans="2:18" ht="43.5" x14ac:dyDescent="0.35">
      <c r="B37" s="250">
        <v>10</v>
      </c>
      <c r="C37" s="33" t="s">
        <v>62</v>
      </c>
      <c r="D37" s="79"/>
      <c r="E37" s="247" t="s">
        <v>270</v>
      </c>
      <c r="F37" s="80">
        <v>50000000</v>
      </c>
      <c r="G37" s="80">
        <v>49144714</v>
      </c>
      <c r="H37" s="80">
        <v>47144906</v>
      </c>
      <c r="I37" s="80">
        <v>54175276</v>
      </c>
      <c r="J37" s="80">
        <v>3859988</v>
      </c>
      <c r="K37" s="80">
        <v>50315287</v>
      </c>
      <c r="L37" s="81">
        <v>10020</v>
      </c>
      <c r="M37" s="81">
        <f>L37*18%</f>
        <v>1803.6</v>
      </c>
      <c r="N37" s="81">
        <v>0</v>
      </c>
      <c r="O37" s="81">
        <f t="shared" ref="O37:O100" si="3">L37+M37+N37</f>
        <v>11823.6</v>
      </c>
      <c r="P37" s="55" t="s">
        <v>19</v>
      </c>
      <c r="Q37" s="246" t="s">
        <v>37</v>
      </c>
      <c r="R37" s="42"/>
    </row>
    <row r="38" spans="2:18" ht="43.5" x14ac:dyDescent="0.35">
      <c r="B38" s="250">
        <v>11</v>
      </c>
      <c r="C38" s="33" t="s">
        <v>63</v>
      </c>
      <c r="D38" s="79"/>
      <c r="E38" s="247" t="s">
        <v>270</v>
      </c>
      <c r="F38" s="80">
        <v>420000000</v>
      </c>
      <c r="G38" s="80">
        <v>552251382</v>
      </c>
      <c r="H38" s="80">
        <v>490580755</v>
      </c>
      <c r="I38" s="80">
        <v>925930461</v>
      </c>
      <c r="J38" s="37">
        <v>197917636</v>
      </c>
      <c r="K38" s="80">
        <v>728012825</v>
      </c>
      <c r="L38" s="81">
        <v>84168</v>
      </c>
      <c r="M38" s="81">
        <f>L38*18%</f>
        <v>15150.24</v>
      </c>
      <c r="N38" s="81">
        <v>0</v>
      </c>
      <c r="O38" s="81">
        <f t="shared" si="3"/>
        <v>99318.24</v>
      </c>
      <c r="P38" s="55" t="s">
        <v>19</v>
      </c>
      <c r="Q38" s="246" t="s">
        <v>37</v>
      </c>
      <c r="R38" s="42"/>
    </row>
    <row r="39" spans="2:18" ht="43.5" x14ac:dyDescent="0.35">
      <c r="B39" s="250">
        <v>12</v>
      </c>
      <c r="C39" s="33" t="s">
        <v>64</v>
      </c>
      <c r="D39" s="79"/>
      <c r="E39" s="79"/>
      <c r="F39" s="80">
        <v>150000000</v>
      </c>
      <c r="G39" s="80">
        <f>[6]Annexures!D107</f>
        <v>32363534.640000001</v>
      </c>
      <c r="H39" s="80">
        <f>[6]Annexures!M107</f>
        <v>1675178</v>
      </c>
      <c r="I39" s="80">
        <f>11537594+13569009+252460500+2783203+6649192</f>
        <v>286999498</v>
      </c>
      <c r="J39" s="80">
        <f>9042589+10634711+330505+631673</f>
        <v>20639478</v>
      </c>
      <c r="K39" s="80">
        <f>2495005+2934298+12623025+2452698+6017518</f>
        <v>26522544</v>
      </c>
      <c r="L39" s="81">
        <v>30060</v>
      </c>
      <c r="M39" s="81">
        <f>L39*18%</f>
        <v>5410.8</v>
      </c>
      <c r="N39" s="81">
        <v>0</v>
      </c>
      <c r="O39" s="81">
        <f t="shared" si="3"/>
        <v>35470.800000000003</v>
      </c>
      <c r="P39" s="55" t="s">
        <v>19</v>
      </c>
      <c r="Q39" s="246" t="s">
        <v>37</v>
      </c>
      <c r="R39" s="42"/>
    </row>
    <row r="40" spans="2:18" ht="15.5" x14ac:dyDescent="0.35">
      <c r="B40" s="132" t="s">
        <v>65</v>
      </c>
      <c r="C40" s="55"/>
      <c r="D40" s="247"/>
      <c r="E40" s="247"/>
      <c r="F40" s="80"/>
      <c r="G40" s="80"/>
      <c r="H40" s="80"/>
      <c r="I40" s="80"/>
      <c r="J40" s="80"/>
      <c r="K40" s="80"/>
      <c r="L40" s="81"/>
      <c r="M40" s="81"/>
      <c r="N40" s="81"/>
      <c r="O40" s="81"/>
      <c r="P40" s="55"/>
      <c r="Q40" s="52"/>
      <c r="R40" s="42"/>
    </row>
    <row r="41" spans="2:18" ht="31" x14ac:dyDescent="0.35">
      <c r="B41" s="250">
        <v>13</v>
      </c>
      <c r="C41" s="128" t="s">
        <v>316</v>
      </c>
      <c r="D41" s="143" t="s">
        <v>67</v>
      </c>
      <c r="E41" s="143"/>
      <c r="F41" s="144">
        <v>54230000</v>
      </c>
      <c r="G41" s="80"/>
      <c r="H41" s="80"/>
      <c r="I41" s="80"/>
      <c r="J41" s="80"/>
      <c r="K41" s="80"/>
      <c r="L41" s="83">
        <v>25081</v>
      </c>
      <c r="M41" s="84">
        <f>L41*18%</f>
        <v>4514.58</v>
      </c>
      <c r="N41" s="83">
        <v>0</v>
      </c>
      <c r="O41" s="81">
        <f t="shared" si="3"/>
        <v>29595.58</v>
      </c>
      <c r="P41" s="55" t="s">
        <v>19</v>
      </c>
      <c r="Q41" s="246" t="s">
        <v>42</v>
      </c>
      <c r="R41" s="42"/>
    </row>
    <row r="42" spans="2:18" ht="31" x14ac:dyDescent="0.35">
      <c r="B42" s="250">
        <v>14</v>
      </c>
      <c r="C42" s="128" t="s">
        <v>317</v>
      </c>
      <c r="D42" s="143" t="s">
        <v>69</v>
      </c>
      <c r="E42" s="143"/>
      <c r="F42" s="144">
        <v>28245000</v>
      </c>
      <c r="G42" s="80"/>
      <c r="H42" s="80"/>
      <c r="I42" s="80"/>
      <c r="J42" s="80"/>
      <c r="K42" s="80"/>
      <c r="L42" s="83">
        <v>13063</v>
      </c>
      <c r="M42" s="84">
        <f>L42*18%</f>
        <v>2351.3399999999997</v>
      </c>
      <c r="N42" s="83">
        <v>0</v>
      </c>
      <c r="O42" s="81">
        <f t="shared" si="3"/>
        <v>15414.34</v>
      </c>
      <c r="P42" s="55" t="s">
        <v>19</v>
      </c>
      <c r="Q42" s="246" t="s">
        <v>42</v>
      </c>
      <c r="R42" s="42"/>
    </row>
    <row r="43" spans="2:18" ht="43.5" x14ac:dyDescent="0.35">
      <c r="B43" s="250">
        <v>15</v>
      </c>
      <c r="C43" s="33" t="s">
        <v>70</v>
      </c>
      <c r="D43" s="79"/>
      <c r="E43" s="79"/>
      <c r="F43" s="80">
        <v>395000000</v>
      </c>
      <c r="G43" s="80">
        <f>219830788+216897920</f>
        <v>436728708</v>
      </c>
      <c r="H43" s="80">
        <f>126181627+161856359</f>
        <v>288037986</v>
      </c>
      <c r="I43" s="80">
        <f>615526206+410347416</f>
        <v>1025873622</v>
      </c>
      <c r="J43" s="80">
        <f>263137453+97457511</f>
        <v>360594964</v>
      </c>
      <c r="K43" s="80">
        <f>352388753+312889905</f>
        <v>665278658</v>
      </c>
      <c r="L43" s="81">
        <v>79158</v>
      </c>
      <c r="M43" s="81">
        <f>L43*18%</f>
        <v>14248.439999999999</v>
      </c>
      <c r="N43" s="81">
        <v>0</v>
      </c>
      <c r="O43" s="81">
        <f t="shared" si="3"/>
        <v>93406.44</v>
      </c>
      <c r="P43" s="55" t="s">
        <v>19</v>
      </c>
      <c r="Q43" s="246" t="s">
        <v>37</v>
      </c>
      <c r="R43" s="42"/>
    </row>
    <row r="44" spans="2:18" ht="43.5" x14ac:dyDescent="0.35">
      <c r="B44" s="250">
        <v>16</v>
      </c>
      <c r="C44" s="78" t="s">
        <v>318</v>
      </c>
      <c r="D44" s="186"/>
      <c r="E44" s="186"/>
      <c r="F44" s="144">
        <v>6325113</v>
      </c>
      <c r="G44" s="80"/>
      <c r="H44" s="80"/>
      <c r="I44" s="80"/>
      <c r="J44" s="80"/>
      <c r="K44" s="80"/>
      <c r="L44" s="81">
        <v>1268</v>
      </c>
      <c r="M44" s="81">
        <f>L44*18%</f>
        <v>228.23999999999998</v>
      </c>
      <c r="N44" s="81">
        <v>0</v>
      </c>
      <c r="O44" s="81">
        <f t="shared" si="3"/>
        <v>1496.24</v>
      </c>
      <c r="P44" s="55" t="s">
        <v>19</v>
      </c>
      <c r="Q44" s="246" t="s">
        <v>37</v>
      </c>
      <c r="R44" s="42"/>
    </row>
    <row r="45" spans="2:18" ht="17" x14ac:dyDescent="0.35">
      <c r="B45" s="136" t="s">
        <v>158</v>
      </c>
      <c r="C45" s="33"/>
      <c r="D45" s="79"/>
      <c r="E45" s="79"/>
      <c r="F45" s="80"/>
      <c r="G45" s="80"/>
      <c r="H45" s="80"/>
      <c r="I45" s="80"/>
      <c r="J45" s="80"/>
      <c r="K45" s="80"/>
      <c r="L45" s="53"/>
      <c r="M45" s="53"/>
      <c r="N45" s="53"/>
      <c r="O45" s="53"/>
      <c r="P45" s="55"/>
      <c r="Q45" s="52"/>
      <c r="R45" s="42"/>
    </row>
    <row r="46" spans="2:18" ht="31" x14ac:dyDescent="0.35">
      <c r="B46" s="250">
        <v>1</v>
      </c>
      <c r="C46" s="33" t="s">
        <v>72</v>
      </c>
      <c r="D46" s="247" t="s">
        <v>74</v>
      </c>
      <c r="E46" s="247"/>
      <c r="F46" s="137">
        <v>9600000</v>
      </c>
      <c r="G46" s="137">
        <f>[6]Annexures!D124</f>
        <v>3514332.45</v>
      </c>
      <c r="H46" s="137">
        <f>[6]Annexures!M124</f>
        <v>13315</v>
      </c>
      <c r="I46" s="137">
        <f>[6]Annexures!O124</f>
        <v>12620000</v>
      </c>
      <c r="J46" s="137">
        <f>[6]Annexures!P124</f>
        <v>9685060</v>
      </c>
      <c r="K46" s="137">
        <f>[6]Annexures!Q124</f>
        <v>2934940</v>
      </c>
      <c r="L46" s="81">
        <v>2856</v>
      </c>
      <c r="M46" s="81">
        <f>L46*18/100</f>
        <v>514.08000000000004</v>
      </c>
      <c r="N46" s="135">
        <v>0</v>
      </c>
      <c r="O46" s="81">
        <f t="shared" si="3"/>
        <v>3370.08</v>
      </c>
      <c r="P46" s="55" t="s">
        <v>10</v>
      </c>
      <c r="Q46" s="32" t="s">
        <v>73</v>
      </c>
      <c r="R46" s="42"/>
    </row>
    <row r="47" spans="2:18" ht="31" x14ac:dyDescent="0.35">
      <c r="B47" s="250">
        <v>2</v>
      </c>
      <c r="C47" s="82" t="s">
        <v>75</v>
      </c>
      <c r="D47" s="247" t="s">
        <v>76</v>
      </c>
      <c r="E47" s="247"/>
      <c r="F47" s="137">
        <v>71700000</v>
      </c>
      <c r="G47" s="137">
        <f>[6]Annexures!D133</f>
        <v>61298199.149999999</v>
      </c>
      <c r="H47" s="137">
        <f>[6]Annexures!M133</f>
        <v>29744848.150000002</v>
      </c>
      <c r="I47" s="137">
        <f>[6]Annexures!O133</f>
        <v>223233000</v>
      </c>
      <c r="J47" s="137">
        <f>[6]Annexures!P133</f>
        <v>92315243</v>
      </c>
      <c r="K47" s="137">
        <f>[6]Annexures!Q133</f>
        <v>130917757</v>
      </c>
      <c r="L47" s="81">
        <v>15121</v>
      </c>
      <c r="M47" s="81">
        <f>L47*18/100</f>
        <v>2721.78</v>
      </c>
      <c r="N47" s="135">
        <v>0</v>
      </c>
      <c r="O47" s="81">
        <f t="shared" si="3"/>
        <v>17842.78</v>
      </c>
      <c r="P47" s="55" t="s">
        <v>10</v>
      </c>
      <c r="Q47" s="32" t="s">
        <v>73</v>
      </c>
      <c r="R47" s="42"/>
    </row>
    <row r="48" spans="2:18" ht="31" x14ac:dyDescent="0.35">
      <c r="B48" s="250">
        <v>3</v>
      </c>
      <c r="C48" s="82" t="s">
        <v>77</v>
      </c>
      <c r="D48" s="247" t="s">
        <v>78</v>
      </c>
      <c r="E48" s="247"/>
      <c r="F48" s="137">
        <v>7400000</v>
      </c>
      <c r="G48" s="137">
        <f>[6]Annexures!D141</f>
        <v>2561884.81</v>
      </c>
      <c r="H48" s="137">
        <f>[6]Annexures!M141</f>
        <v>1693336.81</v>
      </c>
      <c r="I48" s="137">
        <f>[6]Annexures!O141</f>
        <v>3564000</v>
      </c>
      <c r="J48" s="137">
        <f>[6]Annexures!P141</f>
        <v>825588</v>
      </c>
      <c r="K48" s="137">
        <f>[6]Annexures!Q141</f>
        <v>2738412</v>
      </c>
      <c r="L48" s="81">
        <v>2220</v>
      </c>
      <c r="M48" s="81">
        <f>L48*18%</f>
        <v>399.59999999999997</v>
      </c>
      <c r="N48" s="81">
        <v>0</v>
      </c>
      <c r="O48" s="81">
        <f t="shared" si="3"/>
        <v>2619.6</v>
      </c>
      <c r="P48" s="55" t="s">
        <v>79</v>
      </c>
      <c r="Q48" s="32" t="s">
        <v>73</v>
      </c>
      <c r="R48" s="42"/>
    </row>
    <row r="49" spans="2:18" ht="31" x14ac:dyDescent="0.35">
      <c r="B49" s="250">
        <v>4</v>
      </c>
      <c r="C49" s="33" t="s">
        <v>80</v>
      </c>
      <c r="D49" s="247" t="s">
        <v>81</v>
      </c>
      <c r="E49" s="247"/>
      <c r="F49" s="137">
        <v>20600000</v>
      </c>
      <c r="G49" s="137">
        <f>[6]Annexures!D144</f>
        <v>1012567</v>
      </c>
      <c r="H49" s="137">
        <f>[6]Annexures!M144</f>
        <v>177194</v>
      </c>
      <c r="I49" s="137">
        <f>[6]Annexures!O144</f>
        <v>8498000</v>
      </c>
      <c r="J49" s="137">
        <f>[6]Annexures!P144</f>
        <v>5328246</v>
      </c>
      <c r="K49" s="137">
        <f>[6]Annexures!Q144</f>
        <v>3169754</v>
      </c>
      <c r="L49" s="81">
        <v>5029</v>
      </c>
      <c r="M49" s="81">
        <f>L49*18/100</f>
        <v>905.22</v>
      </c>
      <c r="N49" s="135">
        <v>0</v>
      </c>
      <c r="O49" s="81">
        <f t="shared" si="3"/>
        <v>5934.22</v>
      </c>
      <c r="P49" s="55" t="s">
        <v>10</v>
      </c>
      <c r="Q49" s="32" t="s">
        <v>73</v>
      </c>
      <c r="R49" s="42">
        <v>1</v>
      </c>
    </row>
    <row r="50" spans="2:18" ht="31" x14ac:dyDescent="0.35">
      <c r="B50" s="250">
        <v>5</v>
      </c>
      <c r="C50" s="33" t="s">
        <v>82</v>
      </c>
      <c r="D50" s="247" t="s">
        <v>83</v>
      </c>
      <c r="E50" s="247"/>
      <c r="F50" s="137">
        <v>5200000</v>
      </c>
      <c r="G50" s="137">
        <f>[6]Annexures!D149</f>
        <v>447061</v>
      </c>
      <c r="H50" s="137">
        <f>[6]Annexures!M149</f>
        <v>212384</v>
      </c>
      <c r="I50" s="137">
        <f>[6]Annexures!O149</f>
        <v>547000</v>
      </c>
      <c r="J50" s="137">
        <f>[6]Annexures!P149</f>
        <v>102410</v>
      </c>
      <c r="K50" s="137">
        <f>[6]Annexures!Q149</f>
        <v>444590</v>
      </c>
      <c r="L50" s="81">
        <v>1560</v>
      </c>
      <c r="M50" s="81">
        <f>L50*18%</f>
        <v>280.8</v>
      </c>
      <c r="N50" s="81">
        <v>0</v>
      </c>
      <c r="O50" s="81">
        <f t="shared" si="3"/>
        <v>1840.8</v>
      </c>
      <c r="P50" s="55" t="s">
        <v>79</v>
      </c>
      <c r="Q50" s="32" t="s">
        <v>73</v>
      </c>
      <c r="R50" s="47">
        <v>0.15</v>
      </c>
    </row>
    <row r="51" spans="2:18" ht="31" x14ac:dyDescent="0.35">
      <c r="B51" s="250">
        <v>6</v>
      </c>
      <c r="C51" s="33" t="s">
        <v>84</v>
      </c>
      <c r="D51" s="247" t="s">
        <v>85</v>
      </c>
      <c r="E51" s="247"/>
      <c r="F51" s="137">
        <v>54900000</v>
      </c>
      <c r="G51" s="137">
        <f>[6]Annexures!D152</f>
        <v>16031067.51</v>
      </c>
      <c r="H51" s="137">
        <f>[6]Annexures!M152</f>
        <v>13356784.51</v>
      </c>
      <c r="I51" s="137">
        <f>[6]Annexures!O152</f>
        <v>30329000</v>
      </c>
      <c r="J51" s="137">
        <f>[6]Annexures!P152</f>
        <v>5762510</v>
      </c>
      <c r="K51" s="137">
        <f>[6]Annexures!Q152</f>
        <v>24566490</v>
      </c>
      <c r="L51" s="81">
        <v>11803</v>
      </c>
      <c r="M51" s="81">
        <f>L51*18/100</f>
        <v>2124.54</v>
      </c>
      <c r="N51" s="135">
        <v>0</v>
      </c>
      <c r="O51" s="81">
        <f t="shared" si="3"/>
        <v>13927.54</v>
      </c>
      <c r="P51" s="55" t="s">
        <v>10</v>
      </c>
      <c r="Q51" s="32" t="s">
        <v>73</v>
      </c>
      <c r="R51" s="42">
        <v>16934</v>
      </c>
    </row>
    <row r="52" spans="2:18" ht="19.5" x14ac:dyDescent="0.35">
      <c r="B52" s="133" t="s">
        <v>86</v>
      </c>
      <c r="C52" s="33"/>
      <c r="D52" s="79"/>
      <c r="E52" s="79"/>
      <c r="F52" s="80"/>
      <c r="G52" s="80"/>
      <c r="H52" s="80"/>
      <c r="I52" s="80"/>
      <c r="J52" s="80"/>
      <c r="K52" s="80"/>
      <c r="L52" s="53"/>
      <c r="M52" s="53"/>
      <c r="N52" s="53"/>
      <c r="O52" s="53"/>
      <c r="P52" s="55"/>
      <c r="Q52" s="52"/>
      <c r="R52" s="42"/>
    </row>
    <row r="53" spans="2:18" ht="29" x14ac:dyDescent="0.35">
      <c r="B53" s="250">
        <v>1</v>
      </c>
      <c r="C53" s="82" t="s">
        <v>87</v>
      </c>
      <c r="D53" s="247">
        <v>1</v>
      </c>
      <c r="E53" s="247" t="s">
        <v>271</v>
      </c>
      <c r="F53" s="80">
        <v>17000000</v>
      </c>
      <c r="G53" s="80">
        <v>9940193</v>
      </c>
      <c r="H53" s="80">
        <v>728602</v>
      </c>
      <c r="I53" s="80">
        <v>12000000</v>
      </c>
      <c r="J53" s="80">
        <v>11400000</v>
      </c>
      <c r="K53" s="80">
        <v>600000</v>
      </c>
      <c r="L53" s="83">
        <v>10263</v>
      </c>
      <c r="M53" s="84">
        <v>1847.34</v>
      </c>
      <c r="N53" s="83">
        <v>0</v>
      </c>
      <c r="O53" s="81">
        <f t="shared" si="3"/>
        <v>12110.34</v>
      </c>
      <c r="P53" s="55" t="s">
        <v>19</v>
      </c>
      <c r="Q53" s="246" t="s">
        <v>88</v>
      </c>
      <c r="R53" s="42">
        <f>+R51*85/100</f>
        <v>14393.9</v>
      </c>
    </row>
    <row r="54" spans="2:18" ht="29" x14ac:dyDescent="0.35">
      <c r="B54" s="250">
        <v>2</v>
      </c>
      <c r="C54" s="82" t="s">
        <v>89</v>
      </c>
      <c r="D54" s="247">
        <v>1</v>
      </c>
      <c r="E54" s="247" t="s">
        <v>271</v>
      </c>
      <c r="F54" s="80">
        <v>140000000</v>
      </c>
      <c r="G54" s="80">
        <v>104307906</v>
      </c>
      <c r="H54" s="80">
        <v>37379380</v>
      </c>
      <c r="I54" s="80">
        <v>150000000</v>
      </c>
      <c r="J54" s="80">
        <v>99750000</v>
      </c>
      <c r="K54" s="80">
        <v>50250000</v>
      </c>
      <c r="L54" s="83">
        <v>67150</v>
      </c>
      <c r="M54" s="84">
        <v>12087</v>
      </c>
      <c r="N54" s="83">
        <v>0</v>
      </c>
      <c r="O54" s="81">
        <f t="shared" si="3"/>
        <v>79237</v>
      </c>
      <c r="P54" s="55" t="s">
        <v>19</v>
      </c>
      <c r="Q54" s="52" t="s">
        <v>88</v>
      </c>
      <c r="R54" s="42"/>
    </row>
    <row r="55" spans="2:18" ht="29" x14ac:dyDescent="0.35">
      <c r="B55" s="250">
        <v>3</v>
      </c>
      <c r="C55" s="138" t="s">
        <v>90</v>
      </c>
      <c r="D55" s="247">
        <v>2</v>
      </c>
      <c r="E55" s="247" t="s">
        <v>271</v>
      </c>
      <c r="F55" s="80">
        <v>5000000</v>
      </c>
      <c r="G55" s="80">
        <f>2381350*2</f>
        <v>4762700</v>
      </c>
      <c r="H55" s="80">
        <f>493396*2</f>
        <v>986792</v>
      </c>
      <c r="I55" s="80">
        <f>1700000*2</f>
        <v>3400000</v>
      </c>
      <c r="J55" s="80">
        <f>1413125*2</f>
        <v>2826250</v>
      </c>
      <c r="K55" s="80">
        <f>286875*2</f>
        <v>573750</v>
      </c>
      <c r="L55" s="83">
        <v>4185</v>
      </c>
      <c r="M55" s="84">
        <v>753.3</v>
      </c>
      <c r="N55" s="83">
        <v>0</v>
      </c>
      <c r="O55" s="81">
        <f t="shared" si="3"/>
        <v>4938.3</v>
      </c>
      <c r="P55" s="55" t="s">
        <v>10</v>
      </c>
      <c r="Q55" s="246" t="s">
        <v>88</v>
      </c>
      <c r="R55" s="42"/>
    </row>
    <row r="56" spans="2:18" ht="31" x14ac:dyDescent="0.35">
      <c r="B56" s="250">
        <v>4</v>
      </c>
      <c r="C56" s="82" t="s">
        <v>91</v>
      </c>
      <c r="D56" s="247">
        <v>1</v>
      </c>
      <c r="E56" s="247" t="s">
        <v>271</v>
      </c>
      <c r="F56" s="80">
        <v>23420938</v>
      </c>
      <c r="G56" s="80">
        <v>10513594</v>
      </c>
      <c r="H56" s="80">
        <v>7021065</v>
      </c>
      <c r="I56" s="80">
        <v>12000000</v>
      </c>
      <c r="J56" s="80">
        <v>4275000</v>
      </c>
      <c r="K56" s="80">
        <v>7725000</v>
      </c>
      <c r="L56" s="83">
        <v>13232</v>
      </c>
      <c r="M56" s="84">
        <v>2381.7600000000002</v>
      </c>
      <c r="N56" s="84">
        <v>0</v>
      </c>
      <c r="O56" s="81">
        <f t="shared" si="3"/>
        <v>15613.76</v>
      </c>
      <c r="P56" s="55" t="s">
        <v>19</v>
      </c>
      <c r="Q56" s="52" t="s">
        <v>88</v>
      </c>
      <c r="R56" s="42">
        <f>14394*0.15</f>
        <v>2159.1</v>
      </c>
    </row>
    <row r="57" spans="2:18" ht="31" x14ac:dyDescent="0.35">
      <c r="B57" s="250">
        <v>5</v>
      </c>
      <c r="C57" s="82" t="s">
        <v>92</v>
      </c>
      <c r="D57" s="247">
        <v>2</v>
      </c>
      <c r="E57" s="247" t="s">
        <v>271</v>
      </c>
      <c r="F57" s="80">
        <v>1792124</v>
      </c>
      <c r="G57" s="80">
        <f>403781*2</f>
        <v>807562</v>
      </c>
      <c r="H57" s="80">
        <f>281955*2</f>
        <v>563910</v>
      </c>
      <c r="I57" s="80">
        <v>1800000</v>
      </c>
      <c r="J57" s="80">
        <f>320625*2</f>
        <v>641250</v>
      </c>
      <c r="K57" s="80">
        <f>579375*2</f>
        <v>1158750</v>
      </c>
      <c r="L57" s="83">
        <v>2180</v>
      </c>
      <c r="M57" s="84">
        <v>392.4</v>
      </c>
      <c r="N57" s="84">
        <v>0</v>
      </c>
      <c r="O57" s="81">
        <f t="shared" si="3"/>
        <v>2572.4</v>
      </c>
      <c r="P57" s="55" t="s">
        <v>10</v>
      </c>
      <c r="Q57" s="246" t="s">
        <v>88</v>
      </c>
      <c r="R57" s="42">
        <f>+R56+14394</f>
        <v>16553.099999999999</v>
      </c>
    </row>
    <row r="58" spans="2:18" ht="31" x14ac:dyDescent="0.35">
      <c r="B58" s="250">
        <v>6</v>
      </c>
      <c r="C58" s="82" t="s">
        <v>93</v>
      </c>
      <c r="D58" s="247">
        <v>1</v>
      </c>
      <c r="E58" s="247" t="s">
        <v>271</v>
      </c>
      <c r="F58" s="80">
        <v>1525078</v>
      </c>
      <c r="G58" s="80">
        <f>687227</f>
        <v>687227</v>
      </c>
      <c r="H58" s="80">
        <v>479883</v>
      </c>
      <c r="I58" s="80">
        <v>900000</v>
      </c>
      <c r="J58" s="80">
        <v>320625</v>
      </c>
      <c r="K58" s="80">
        <v>579375</v>
      </c>
      <c r="L58" s="83">
        <v>2013</v>
      </c>
      <c r="M58" s="84">
        <v>362.34</v>
      </c>
      <c r="N58" s="83">
        <v>0</v>
      </c>
      <c r="O58" s="81">
        <f t="shared" si="3"/>
        <v>2375.34</v>
      </c>
      <c r="P58" s="55" t="s">
        <v>10</v>
      </c>
      <c r="Q58" s="246" t="s">
        <v>88</v>
      </c>
      <c r="R58" s="42"/>
    </row>
    <row r="59" spans="2:18" ht="31" x14ac:dyDescent="0.35">
      <c r="B59" s="250">
        <v>7</v>
      </c>
      <c r="C59" s="82" t="s">
        <v>94</v>
      </c>
      <c r="D59" s="247"/>
      <c r="E59" s="247" t="s">
        <v>268</v>
      </c>
      <c r="F59" s="80">
        <v>176200000</v>
      </c>
      <c r="G59" s="80">
        <v>183570424</v>
      </c>
      <c r="H59" s="80">
        <v>89901863</v>
      </c>
      <c r="I59" s="80">
        <v>220000000</v>
      </c>
      <c r="J59" s="80">
        <v>57475000</v>
      </c>
      <c r="K59" s="80">
        <v>162525000</v>
      </c>
      <c r="L59" s="83">
        <v>81493</v>
      </c>
      <c r="M59" s="84">
        <f t="shared" ref="M59:M66" si="4">L59*18/100</f>
        <v>14668.74</v>
      </c>
      <c r="N59" s="83">
        <v>0</v>
      </c>
      <c r="O59" s="81">
        <f t="shared" si="3"/>
        <v>96161.74</v>
      </c>
      <c r="P59" s="55" t="s">
        <v>19</v>
      </c>
      <c r="Q59" s="52" t="s">
        <v>18</v>
      </c>
      <c r="R59" s="42" t="e">
        <f>+Q59*0.15</f>
        <v>#VALUE!</v>
      </c>
    </row>
    <row r="60" spans="2:18" ht="31" x14ac:dyDescent="0.35">
      <c r="B60" s="250">
        <v>8</v>
      </c>
      <c r="C60" s="32" t="s">
        <v>95</v>
      </c>
      <c r="D60" s="79"/>
      <c r="E60" s="247" t="s">
        <v>268</v>
      </c>
      <c r="F60" s="80">
        <v>23000000</v>
      </c>
      <c r="G60" s="80">
        <v>52400000</v>
      </c>
      <c r="H60" s="80">
        <v>28195936</v>
      </c>
      <c r="I60" s="80">
        <v>75000000</v>
      </c>
      <c r="J60" s="80">
        <v>30281250</v>
      </c>
      <c r="K60" s="80">
        <v>44718750</v>
      </c>
      <c r="L60" s="83">
        <v>10638</v>
      </c>
      <c r="M60" s="84">
        <f t="shared" si="4"/>
        <v>1914.84</v>
      </c>
      <c r="N60" s="83">
        <v>0</v>
      </c>
      <c r="O60" s="81">
        <f t="shared" si="3"/>
        <v>12552.84</v>
      </c>
      <c r="P60" s="55" t="s">
        <v>19</v>
      </c>
      <c r="Q60" s="52" t="s">
        <v>18</v>
      </c>
      <c r="R60" s="42"/>
    </row>
    <row r="61" spans="2:18" ht="31" x14ac:dyDescent="0.35">
      <c r="B61" s="250">
        <v>9</v>
      </c>
      <c r="C61" s="32" t="s">
        <v>96</v>
      </c>
      <c r="D61" s="79"/>
      <c r="E61" s="247" t="s">
        <v>268</v>
      </c>
      <c r="F61" s="80">
        <v>1750000</v>
      </c>
      <c r="G61" s="80">
        <v>2731598</v>
      </c>
      <c r="H61" s="80">
        <v>1725175</v>
      </c>
      <c r="I61" s="80">
        <v>10000000</v>
      </c>
      <c r="J61" s="80">
        <v>3562500</v>
      </c>
      <c r="K61" s="80">
        <v>6437500</v>
      </c>
      <c r="L61" s="83">
        <v>809</v>
      </c>
      <c r="M61" s="84">
        <f t="shared" si="4"/>
        <v>145.62</v>
      </c>
      <c r="N61" s="83">
        <v>0</v>
      </c>
      <c r="O61" s="81">
        <f t="shared" si="3"/>
        <v>954.62</v>
      </c>
      <c r="P61" s="55" t="s">
        <v>19</v>
      </c>
      <c r="Q61" s="52" t="s">
        <v>18</v>
      </c>
      <c r="R61" s="42">
        <f>115*0.130434782608696</f>
        <v>15.000000000000041</v>
      </c>
    </row>
    <row r="62" spans="2:18" ht="31" x14ac:dyDescent="0.35">
      <c r="B62" s="250">
        <v>10</v>
      </c>
      <c r="C62" s="32" t="s">
        <v>97</v>
      </c>
      <c r="D62" s="79"/>
      <c r="E62" s="247" t="s">
        <v>268</v>
      </c>
      <c r="F62" s="80">
        <v>2555000</v>
      </c>
      <c r="G62" s="80">
        <v>6068816</v>
      </c>
      <c r="H62" s="80">
        <v>3099313</v>
      </c>
      <c r="I62" s="80">
        <v>6000000</v>
      </c>
      <c r="J62" s="80">
        <v>2992500</v>
      </c>
      <c r="K62" s="80">
        <v>3007500</v>
      </c>
      <c r="L62" s="83">
        <v>1182</v>
      </c>
      <c r="M62" s="84">
        <f t="shared" si="4"/>
        <v>212.76</v>
      </c>
      <c r="N62" s="83">
        <v>0</v>
      </c>
      <c r="O62" s="81">
        <f t="shared" si="3"/>
        <v>1394.76</v>
      </c>
      <c r="P62" s="55" t="s">
        <v>19</v>
      </c>
      <c r="Q62" s="52" t="s">
        <v>18</v>
      </c>
      <c r="R62" s="42"/>
    </row>
    <row r="63" spans="2:18" ht="29" x14ac:dyDescent="0.35">
      <c r="B63" s="250">
        <v>11</v>
      </c>
      <c r="C63" s="32" t="s">
        <v>98</v>
      </c>
      <c r="D63" s="79"/>
      <c r="E63" s="79"/>
      <c r="F63" s="80">
        <v>3000000</v>
      </c>
      <c r="G63" s="80">
        <f>[6]Annexures!D192</f>
        <v>4247897</v>
      </c>
      <c r="H63" s="80">
        <f>[6]Annexures!M192</f>
        <v>2</v>
      </c>
      <c r="I63" s="80">
        <f>[6]Annexures!O192</f>
        <v>4131000</v>
      </c>
      <c r="J63" s="80">
        <f>[6]Annexures!P192</f>
        <v>5044500</v>
      </c>
      <c r="K63" s="80">
        <f>[6]Annexures!Q192</f>
        <v>265500</v>
      </c>
      <c r="L63" s="81">
        <v>1388</v>
      </c>
      <c r="M63" s="81">
        <f t="shared" si="4"/>
        <v>249.84</v>
      </c>
      <c r="N63" s="135">
        <v>0</v>
      </c>
      <c r="O63" s="81">
        <f t="shared" si="3"/>
        <v>1637.84</v>
      </c>
      <c r="P63" s="55" t="s">
        <v>19</v>
      </c>
      <c r="Q63" s="52" t="s">
        <v>18</v>
      </c>
      <c r="R63" s="42">
        <f>115*0.869565217391304</f>
        <v>99.999999999999957</v>
      </c>
    </row>
    <row r="64" spans="2:18" ht="29" x14ac:dyDescent="0.35">
      <c r="B64" s="187">
        <v>12</v>
      </c>
      <c r="C64" s="188" t="s">
        <v>99</v>
      </c>
      <c r="D64" s="189"/>
      <c r="E64" s="189"/>
      <c r="F64" s="190">
        <v>40000000</v>
      </c>
      <c r="G64" s="80"/>
      <c r="H64" s="80"/>
      <c r="I64" s="80"/>
      <c r="J64" s="80"/>
      <c r="K64" s="80"/>
      <c r="L64" s="81">
        <v>18500</v>
      </c>
      <c r="M64" s="81">
        <f t="shared" si="4"/>
        <v>3330</v>
      </c>
      <c r="N64" s="135">
        <v>0</v>
      </c>
      <c r="O64" s="81">
        <f t="shared" si="3"/>
        <v>21830</v>
      </c>
      <c r="P64" s="55" t="s">
        <v>19</v>
      </c>
      <c r="Q64" s="52" t="s">
        <v>18</v>
      </c>
      <c r="R64" s="42"/>
    </row>
    <row r="65" spans="2:18" ht="29" x14ac:dyDescent="0.35">
      <c r="B65" s="250">
        <v>13</v>
      </c>
      <c r="C65" s="32" t="s">
        <v>100</v>
      </c>
      <c r="D65" s="79"/>
      <c r="E65" s="79" t="s">
        <v>266</v>
      </c>
      <c r="F65" s="80">
        <v>12000000</v>
      </c>
      <c r="G65" s="80">
        <f>10303268.04*2</f>
        <v>20606536.079999998</v>
      </c>
      <c r="H65" s="80">
        <f>5985534*2</f>
        <v>11971068</v>
      </c>
      <c r="I65" s="80">
        <f>15000000*2</f>
        <v>30000000</v>
      </c>
      <c r="J65" s="80"/>
      <c r="K65" s="80">
        <f>750000*2</f>
        <v>1500000</v>
      </c>
      <c r="L65" s="81">
        <v>5550</v>
      </c>
      <c r="M65" s="81">
        <f t="shared" si="4"/>
        <v>999</v>
      </c>
      <c r="N65" s="135">
        <v>0</v>
      </c>
      <c r="O65" s="81">
        <f t="shared" si="3"/>
        <v>6549</v>
      </c>
      <c r="P65" s="55" t="s">
        <v>19</v>
      </c>
      <c r="Q65" s="52" t="s">
        <v>18</v>
      </c>
      <c r="R65" s="42"/>
    </row>
    <row r="66" spans="2:18" ht="60" customHeight="1" x14ac:dyDescent="0.35">
      <c r="B66" s="250">
        <v>14</v>
      </c>
      <c r="C66" s="139" t="s">
        <v>188</v>
      </c>
      <c r="D66" s="186"/>
      <c r="E66" s="186"/>
      <c r="F66" s="144">
        <v>2500000</v>
      </c>
      <c r="G66" s="80"/>
      <c r="H66" s="80"/>
      <c r="I66" s="80"/>
      <c r="J66" s="80"/>
      <c r="K66" s="80"/>
      <c r="L66" s="81">
        <v>1156</v>
      </c>
      <c r="M66" s="81">
        <f t="shared" si="4"/>
        <v>208.08</v>
      </c>
      <c r="N66" s="135">
        <v>0</v>
      </c>
      <c r="O66" s="81">
        <f t="shared" si="3"/>
        <v>1364.08</v>
      </c>
      <c r="P66" s="55" t="s">
        <v>19</v>
      </c>
      <c r="Q66" s="52" t="s">
        <v>18</v>
      </c>
      <c r="R66" s="42"/>
    </row>
    <row r="67" spans="2:18" ht="15.5" x14ac:dyDescent="0.35">
      <c r="B67" s="250">
        <v>15</v>
      </c>
      <c r="C67" s="55" t="s">
        <v>102</v>
      </c>
      <c r="D67" s="250"/>
      <c r="E67" s="250"/>
      <c r="F67" s="80">
        <v>170000000</v>
      </c>
      <c r="G67" s="80">
        <f>46480929*3</f>
        <v>139442787</v>
      </c>
      <c r="H67" s="80">
        <f>34211238*3</f>
        <v>102633714</v>
      </c>
      <c r="I67" s="80">
        <f>55000000*3</f>
        <v>165000000</v>
      </c>
      <c r="J67" s="80">
        <f>15675000*3</f>
        <v>47025000</v>
      </c>
      <c r="K67" s="80">
        <f>39325000*3</f>
        <v>117975000</v>
      </c>
      <c r="L67" s="81">
        <v>78625</v>
      </c>
      <c r="M67" s="81">
        <f>L67*18%</f>
        <v>14152.5</v>
      </c>
      <c r="N67" s="81">
        <v>0</v>
      </c>
      <c r="O67" s="81">
        <f t="shared" si="3"/>
        <v>92777.5</v>
      </c>
      <c r="P67" s="55" t="s">
        <v>19</v>
      </c>
      <c r="Q67" s="52" t="s">
        <v>103</v>
      </c>
      <c r="R67" s="42"/>
    </row>
    <row r="68" spans="2:18" ht="19.5" x14ac:dyDescent="0.35">
      <c r="B68" s="133" t="s">
        <v>104</v>
      </c>
      <c r="C68" s="55"/>
      <c r="D68" s="79"/>
      <c r="E68" s="79"/>
      <c r="F68" s="80"/>
      <c r="G68" s="80"/>
      <c r="H68" s="80"/>
      <c r="I68" s="80"/>
      <c r="J68" s="80"/>
      <c r="K68" s="80"/>
      <c r="L68" s="53"/>
      <c r="M68" s="53"/>
      <c r="N68" s="53"/>
      <c r="O68" s="81"/>
      <c r="P68" s="55"/>
      <c r="Q68" s="52"/>
      <c r="R68" s="42"/>
    </row>
    <row r="69" spans="2:18" ht="15.5" x14ac:dyDescent="0.35">
      <c r="B69" s="132" t="s">
        <v>105</v>
      </c>
      <c r="C69" s="32"/>
      <c r="D69" s="79"/>
      <c r="E69" s="79"/>
      <c r="F69" s="80"/>
      <c r="G69" s="80"/>
      <c r="H69" s="80"/>
      <c r="I69" s="80"/>
      <c r="J69" s="80"/>
      <c r="K69" s="80"/>
      <c r="L69" s="53"/>
      <c r="M69" s="53"/>
      <c r="N69" s="53"/>
      <c r="O69" s="81"/>
      <c r="P69" s="55"/>
      <c r="Q69" s="52"/>
      <c r="R69" s="42"/>
    </row>
    <row r="70" spans="2:18" ht="15.5" x14ac:dyDescent="0.35">
      <c r="B70" s="250">
        <v>1</v>
      </c>
      <c r="C70" s="82" t="s">
        <v>106</v>
      </c>
      <c r="D70" s="247">
        <v>3</v>
      </c>
      <c r="E70" s="247"/>
      <c r="F70" s="80">
        <f>977800+1955600</f>
        <v>2933400</v>
      </c>
      <c r="G70" s="80"/>
      <c r="H70" s="80"/>
      <c r="I70" s="80"/>
      <c r="J70" s="80"/>
      <c r="K70" s="80"/>
      <c r="L70" s="81">
        <v>11147</v>
      </c>
      <c r="M70" s="81">
        <f t="shared" ref="M70:M82" si="5">L70*18%</f>
        <v>2006.46</v>
      </c>
      <c r="N70" s="135">
        <v>0</v>
      </c>
      <c r="O70" s="81">
        <f t="shared" si="3"/>
        <v>13153.46</v>
      </c>
      <c r="P70" s="55" t="s">
        <v>44</v>
      </c>
      <c r="Q70" s="246" t="s">
        <v>107</v>
      </c>
      <c r="R70" s="42"/>
    </row>
    <row r="71" spans="2:18" ht="31" x14ac:dyDescent="0.35">
      <c r="B71" s="250">
        <v>2</v>
      </c>
      <c r="C71" s="82" t="s">
        <v>108</v>
      </c>
      <c r="D71" s="247">
        <v>1</v>
      </c>
      <c r="E71" s="247"/>
      <c r="F71" s="80">
        <v>615000</v>
      </c>
      <c r="G71" s="80"/>
      <c r="H71" s="80"/>
      <c r="I71" s="80"/>
      <c r="J71" s="80"/>
      <c r="K71" s="80"/>
      <c r="L71" s="81">
        <v>3075</v>
      </c>
      <c r="M71" s="81">
        <f t="shared" si="5"/>
        <v>553.5</v>
      </c>
      <c r="N71" s="81">
        <v>0</v>
      </c>
      <c r="O71" s="81">
        <f t="shared" si="3"/>
        <v>3628.5</v>
      </c>
      <c r="P71" s="55" t="s">
        <v>79</v>
      </c>
      <c r="Q71" s="246" t="s">
        <v>107</v>
      </c>
      <c r="R71" s="42"/>
    </row>
    <row r="72" spans="2:18" ht="15.5" x14ac:dyDescent="0.35">
      <c r="B72" s="250">
        <v>3</v>
      </c>
      <c r="C72" s="82" t="s">
        <v>109</v>
      </c>
      <c r="D72" s="247">
        <v>1</v>
      </c>
      <c r="E72" s="247"/>
      <c r="F72" s="80">
        <v>626000</v>
      </c>
      <c r="G72" s="80"/>
      <c r="H72" s="80"/>
      <c r="I72" s="80"/>
      <c r="J72" s="80"/>
      <c r="K72" s="80"/>
      <c r="L72" s="81">
        <v>3130</v>
      </c>
      <c r="M72" s="81">
        <f t="shared" si="5"/>
        <v>563.4</v>
      </c>
      <c r="N72" s="81">
        <v>0</v>
      </c>
      <c r="O72" s="81">
        <f t="shared" si="3"/>
        <v>3693.4</v>
      </c>
      <c r="P72" s="55" t="s">
        <v>79</v>
      </c>
      <c r="Q72" s="246" t="s">
        <v>107</v>
      </c>
      <c r="R72" s="42"/>
    </row>
    <row r="73" spans="2:18" ht="15.5" x14ac:dyDescent="0.35">
      <c r="B73" s="250">
        <v>4</v>
      </c>
      <c r="C73" s="82" t="s">
        <v>110</v>
      </c>
      <c r="D73" s="247">
        <v>1</v>
      </c>
      <c r="E73" s="247"/>
      <c r="F73" s="80">
        <v>1080542</v>
      </c>
      <c r="G73" s="80"/>
      <c r="H73" s="80"/>
      <c r="I73" s="80"/>
      <c r="J73" s="80"/>
      <c r="K73" s="80"/>
      <c r="L73" s="81">
        <v>5403</v>
      </c>
      <c r="M73" s="81">
        <f t="shared" si="5"/>
        <v>972.54</v>
      </c>
      <c r="N73" s="81">
        <v>0</v>
      </c>
      <c r="O73" s="81">
        <f t="shared" si="3"/>
        <v>6375.54</v>
      </c>
      <c r="P73" s="55" t="s">
        <v>79</v>
      </c>
      <c r="Q73" s="246" t="s">
        <v>107</v>
      </c>
      <c r="R73" s="42"/>
    </row>
    <row r="74" spans="2:18" ht="15.5" x14ac:dyDescent="0.35">
      <c r="B74" s="250">
        <v>5</v>
      </c>
      <c r="C74" s="82" t="s">
        <v>111</v>
      </c>
      <c r="D74" s="247">
        <v>4</v>
      </c>
      <c r="E74" s="247"/>
      <c r="F74" s="80">
        <f>930000+2790000</f>
        <v>3720000</v>
      </c>
      <c r="G74" s="80"/>
      <c r="H74" s="80"/>
      <c r="I74" s="80"/>
      <c r="J74" s="80"/>
      <c r="K74" s="80"/>
      <c r="L74" s="81">
        <v>10602</v>
      </c>
      <c r="M74" s="81">
        <f t="shared" si="5"/>
        <v>1908.36</v>
      </c>
      <c r="N74" s="135">
        <v>0</v>
      </c>
      <c r="O74" s="81">
        <f t="shared" si="3"/>
        <v>12510.36</v>
      </c>
      <c r="P74" s="55" t="s">
        <v>44</v>
      </c>
      <c r="Q74" s="246" t="s">
        <v>107</v>
      </c>
      <c r="R74" s="42"/>
    </row>
    <row r="75" spans="2:18" ht="31" x14ac:dyDescent="0.35">
      <c r="B75" s="250">
        <v>6</v>
      </c>
      <c r="C75" s="82" t="s">
        <v>112</v>
      </c>
      <c r="D75" s="247">
        <v>1</v>
      </c>
      <c r="E75" s="247"/>
      <c r="F75" s="80">
        <v>1862000</v>
      </c>
      <c r="G75" s="80"/>
      <c r="H75" s="80"/>
      <c r="I75" s="80"/>
      <c r="J75" s="80"/>
      <c r="K75" s="80"/>
      <c r="L75" s="81">
        <v>9310</v>
      </c>
      <c r="M75" s="81">
        <f t="shared" si="5"/>
        <v>1675.8</v>
      </c>
      <c r="N75" s="81">
        <v>0</v>
      </c>
      <c r="O75" s="81">
        <f t="shared" si="3"/>
        <v>10985.8</v>
      </c>
      <c r="P75" s="55" t="s">
        <v>79</v>
      </c>
      <c r="Q75" s="246" t="s">
        <v>107</v>
      </c>
      <c r="R75" s="42"/>
    </row>
    <row r="76" spans="2:18" ht="15.5" x14ac:dyDescent="0.35">
      <c r="B76" s="250">
        <v>7</v>
      </c>
      <c r="C76" s="32" t="s">
        <v>113</v>
      </c>
      <c r="D76" s="79">
        <v>1</v>
      </c>
      <c r="E76" s="79"/>
      <c r="F76" s="80">
        <v>652000</v>
      </c>
      <c r="G76" s="80"/>
      <c r="H76" s="80"/>
      <c r="I76" s="80"/>
      <c r="J76" s="80"/>
      <c r="K76" s="80"/>
      <c r="L76" s="81">
        <v>3260</v>
      </c>
      <c r="M76" s="81">
        <f t="shared" si="5"/>
        <v>586.79999999999995</v>
      </c>
      <c r="N76" s="81">
        <v>0</v>
      </c>
      <c r="O76" s="81">
        <f t="shared" si="3"/>
        <v>3846.8</v>
      </c>
      <c r="P76" s="55" t="s">
        <v>79</v>
      </c>
      <c r="Q76" s="246" t="s">
        <v>107</v>
      </c>
      <c r="R76" s="42"/>
    </row>
    <row r="77" spans="2:18" ht="15.5" x14ac:dyDescent="0.35">
      <c r="B77" s="250">
        <v>8</v>
      </c>
      <c r="C77" s="249" t="s">
        <v>114</v>
      </c>
      <c r="D77" s="250">
        <v>2</v>
      </c>
      <c r="E77" s="250"/>
      <c r="F77" s="131">
        <v>255000</v>
      </c>
      <c r="G77" s="131"/>
      <c r="H77" s="131"/>
      <c r="I77" s="131"/>
      <c r="J77" s="131"/>
      <c r="K77" s="131"/>
      <c r="L77" s="81">
        <v>1275</v>
      </c>
      <c r="M77" s="81">
        <f t="shared" si="5"/>
        <v>229.5</v>
      </c>
      <c r="N77" s="81">
        <v>0</v>
      </c>
      <c r="O77" s="81">
        <f t="shared" si="3"/>
        <v>1504.5</v>
      </c>
      <c r="P77" s="55" t="s">
        <v>79</v>
      </c>
      <c r="Q77" s="246" t="s">
        <v>107</v>
      </c>
      <c r="R77" s="42"/>
    </row>
    <row r="78" spans="2:18" ht="15.5" x14ac:dyDescent="0.35">
      <c r="B78" s="250">
        <v>9</v>
      </c>
      <c r="C78" s="32" t="s">
        <v>115</v>
      </c>
      <c r="D78" s="79">
        <v>1</v>
      </c>
      <c r="E78" s="79"/>
      <c r="F78" s="80">
        <v>500000</v>
      </c>
      <c r="G78" s="80"/>
      <c r="H78" s="80"/>
      <c r="I78" s="80"/>
      <c r="J78" s="80"/>
      <c r="K78" s="80"/>
      <c r="L78" s="81">
        <v>2500</v>
      </c>
      <c r="M78" s="81">
        <f t="shared" si="5"/>
        <v>450</v>
      </c>
      <c r="N78" s="81">
        <v>0</v>
      </c>
      <c r="O78" s="81">
        <f t="shared" si="3"/>
        <v>2950</v>
      </c>
      <c r="P78" s="55" t="s">
        <v>79</v>
      </c>
      <c r="Q78" s="246" t="s">
        <v>107</v>
      </c>
      <c r="R78" s="42"/>
    </row>
    <row r="79" spans="2:18" ht="15.5" x14ac:dyDescent="0.35">
      <c r="B79" s="250">
        <v>10</v>
      </c>
      <c r="C79" s="32" t="s">
        <v>116</v>
      </c>
      <c r="D79" s="79">
        <v>1</v>
      </c>
      <c r="E79" s="79"/>
      <c r="F79" s="80">
        <v>175000</v>
      </c>
      <c r="G79" s="80"/>
      <c r="H79" s="80"/>
      <c r="I79" s="80"/>
      <c r="J79" s="80"/>
      <c r="K79" s="80"/>
      <c r="L79" s="81">
        <v>875</v>
      </c>
      <c r="M79" s="81">
        <f t="shared" si="5"/>
        <v>157.5</v>
      </c>
      <c r="N79" s="81">
        <v>0</v>
      </c>
      <c r="O79" s="81">
        <f t="shared" si="3"/>
        <v>1032.5</v>
      </c>
      <c r="P79" s="55" t="s">
        <v>79</v>
      </c>
      <c r="Q79" s="246" t="s">
        <v>107</v>
      </c>
      <c r="R79" s="42"/>
    </row>
    <row r="80" spans="2:18" ht="15.5" x14ac:dyDescent="0.35">
      <c r="B80" s="250">
        <v>11</v>
      </c>
      <c r="C80" s="32" t="s">
        <v>117</v>
      </c>
      <c r="D80" s="79">
        <v>1</v>
      </c>
      <c r="E80" s="79"/>
      <c r="F80" s="80">
        <v>461000</v>
      </c>
      <c r="G80" s="80"/>
      <c r="H80" s="80"/>
      <c r="I80" s="80"/>
      <c r="J80" s="80"/>
      <c r="K80" s="80"/>
      <c r="L80" s="81">
        <v>2305</v>
      </c>
      <c r="M80" s="81">
        <f t="shared" si="5"/>
        <v>414.9</v>
      </c>
      <c r="N80" s="81">
        <v>0</v>
      </c>
      <c r="O80" s="81">
        <f t="shared" si="3"/>
        <v>2719.9</v>
      </c>
      <c r="P80" s="55" t="s">
        <v>79</v>
      </c>
      <c r="Q80" s="246" t="s">
        <v>107</v>
      </c>
      <c r="R80" s="42"/>
    </row>
    <row r="81" spans="2:18" ht="15.5" x14ac:dyDescent="0.35">
      <c r="B81" s="250">
        <v>12</v>
      </c>
      <c r="C81" s="32" t="s">
        <v>118</v>
      </c>
      <c r="D81" s="79">
        <v>1</v>
      </c>
      <c r="E81" s="79"/>
      <c r="F81" s="80">
        <v>1450000</v>
      </c>
      <c r="G81" s="80"/>
      <c r="H81" s="80"/>
      <c r="I81" s="80"/>
      <c r="J81" s="80"/>
      <c r="K81" s="80"/>
      <c r="L81" s="81">
        <v>7250</v>
      </c>
      <c r="M81" s="81">
        <f t="shared" si="5"/>
        <v>1305</v>
      </c>
      <c r="N81" s="81">
        <v>0</v>
      </c>
      <c r="O81" s="81">
        <f t="shared" si="3"/>
        <v>8555</v>
      </c>
      <c r="P81" s="55" t="s">
        <v>79</v>
      </c>
      <c r="Q81" s="246" t="s">
        <v>107</v>
      </c>
      <c r="R81" s="42"/>
    </row>
    <row r="82" spans="2:18" ht="15.5" x14ac:dyDescent="0.35">
      <c r="B82" s="250">
        <v>13</v>
      </c>
      <c r="C82" s="32" t="s">
        <v>119</v>
      </c>
      <c r="D82" s="79">
        <v>1</v>
      </c>
      <c r="E82" s="79"/>
      <c r="F82" s="80">
        <v>293810</v>
      </c>
      <c r="G82" s="80"/>
      <c r="H82" s="80"/>
      <c r="I82" s="80"/>
      <c r="J82" s="80"/>
      <c r="K82" s="80"/>
      <c r="L82" s="81">
        <v>1469</v>
      </c>
      <c r="M82" s="81">
        <f t="shared" si="5"/>
        <v>264.42</v>
      </c>
      <c r="N82" s="81">
        <v>0</v>
      </c>
      <c r="O82" s="81">
        <f t="shared" si="3"/>
        <v>1733.42</v>
      </c>
      <c r="P82" s="55" t="s">
        <v>79</v>
      </c>
      <c r="Q82" s="246" t="s">
        <v>107</v>
      </c>
      <c r="R82" s="42"/>
    </row>
    <row r="83" spans="2:18" ht="15.5" x14ac:dyDescent="0.35">
      <c r="B83" s="132" t="s">
        <v>120</v>
      </c>
      <c r="C83" s="32"/>
      <c r="D83" s="79"/>
      <c r="E83" s="79"/>
      <c r="F83" s="80"/>
      <c r="G83" s="80"/>
      <c r="H83" s="80"/>
      <c r="I83" s="80"/>
      <c r="J83" s="80"/>
      <c r="K83" s="80"/>
      <c r="L83" s="53"/>
      <c r="M83" s="53"/>
      <c r="N83" s="53"/>
      <c r="O83" s="81"/>
      <c r="P83" s="55"/>
      <c r="Q83" s="52"/>
      <c r="R83" s="42"/>
    </row>
    <row r="84" spans="2:18" ht="15.5" x14ac:dyDescent="0.35">
      <c r="B84" s="250">
        <v>14</v>
      </c>
      <c r="C84" s="32" t="s">
        <v>121</v>
      </c>
      <c r="D84" s="79">
        <v>1</v>
      </c>
      <c r="E84" s="79"/>
      <c r="F84" s="80">
        <v>50000</v>
      </c>
      <c r="G84" s="80"/>
      <c r="H84" s="80"/>
      <c r="I84" s="80"/>
      <c r="J84" s="80"/>
      <c r="K84" s="80"/>
      <c r="L84" s="81">
        <v>250</v>
      </c>
      <c r="M84" s="81">
        <f t="shared" ref="M84:M91" si="6">L84*18%</f>
        <v>45</v>
      </c>
      <c r="N84" s="81">
        <v>0</v>
      </c>
      <c r="O84" s="81">
        <f t="shared" si="3"/>
        <v>295</v>
      </c>
      <c r="P84" s="55" t="s">
        <v>79</v>
      </c>
      <c r="Q84" s="246" t="s">
        <v>107</v>
      </c>
      <c r="R84" s="42"/>
    </row>
    <row r="85" spans="2:18" ht="15.5" x14ac:dyDescent="0.35">
      <c r="B85" s="250">
        <v>15</v>
      </c>
      <c r="C85" s="32" t="s">
        <v>122</v>
      </c>
      <c r="D85" s="79">
        <v>2</v>
      </c>
      <c r="E85" s="79"/>
      <c r="F85" s="80">
        <v>60000</v>
      </c>
      <c r="G85" s="80"/>
      <c r="H85" s="80"/>
      <c r="I85" s="80"/>
      <c r="J85" s="80"/>
      <c r="K85" s="80"/>
      <c r="L85" s="81">
        <v>300</v>
      </c>
      <c r="M85" s="81">
        <f t="shared" si="6"/>
        <v>54</v>
      </c>
      <c r="N85" s="81">
        <v>0</v>
      </c>
      <c r="O85" s="81">
        <f t="shared" si="3"/>
        <v>354</v>
      </c>
      <c r="P85" s="55" t="s">
        <v>79</v>
      </c>
      <c r="Q85" s="246" t="s">
        <v>107</v>
      </c>
      <c r="R85" s="42"/>
    </row>
    <row r="86" spans="2:18" ht="15.5" x14ac:dyDescent="0.35">
      <c r="B86" s="250">
        <v>16</v>
      </c>
      <c r="C86" s="32" t="s">
        <v>123</v>
      </c>
      <c r="D86" s="79">
        <v>1</v>
      </c>
      <c r="E86" s="79"/>
      <c r="F86" s="80">
        <v>584000</v>
      </c>
      <c r="G86" s="80"/>
      <c r="H86" s="80"/>
      <c r="I86" s="80"/>
      <c r="J86" s="80"/>
      <c r="K86" s="80"/>
      <c r="L86" s="81">
        <v>2920</v>
      </c>
      <c r="M86" s="81">
        <f t="shared" si="6"/>
        <v>525.6</v>
      </c>
      <c r="N86" s="81">
        <v>0</v>
      </c>
      <c r="O86" s="81">
        <f t="shared" si="3"/>
        <v>3445.6</v>
      </c>
      <c r="P86" s="55" t="s">
        <v>79</v>
      </c>
      <c r="Q86" s="246" t="s">
        <v>107</v>
      </c>
      <c r="R86" s="42"/>
    </row>
    <row r="87" spans="2:18" ht="15.5" x14ac:dyDescent="0.35">
      <c r="B87" s="250">
        <v>17</v>
      </c>
      <c r="C87" s="32" t="s">
        <v>124</v>
      </c>
      <c r="D87" s="79">
        <v>2</v>
      </c>
      <c r="E87" s="79"/>
      <c r="F87" s="80">
        <v>587000</v>
      </c>
      <c r="G87" s="80"/>
      <c r="H87" s="80"/>
      <c r="I87" s="80"/>
      <c r="J87" s="80"/>
      <c r="K87" s="80"/>
      <c r="L87" s="81">
        <v>2935</v>
      </c>
      <c r="M87" s="81">
        <f t="shared" si="6"/>
        <v>528.29999999999995</v>
      </c>
      <c r="N87" s="81">
        <v>0</v>
      </c>
      <c r="O87" s="81">
        <f t="shared" si="3"/>
        <v>3463.3</v>
      </c>
      <c r="P87" s="55" t="s">
        <v>79</v>
      </c>
      <c r="Q87" s="246" t="s">
        <v>107</v>
      </c>
      <c r="R87" s="42"/>
    </row>
    <row r="88" spans="2:18" ht="15.5" x14ac:dyDescent="0.35">
      <c r="B88" s="250">
        <v>18</v>
      </c>
      <c r="C88" s="32" t="s">
        <v>125</v>
      </c>
      <c r="D88" s="79">
        <v>1</v>
      </c>
      <c r="E88" s="79"/>
      <c r="F88" s="80">
        <v>4835000</v>
      </c>
      <c r="G88" s="80"/>
      <c r="H88" s="80"/>
      <c r="I88" s="80"/>
      <c r="J88" s="80"/>
      <c r="K88" s="80"/>
      <c r="L88" s="81">
        <v>24175</v>
      </c>
      <c r="M88" s="81">
        <f t="shared" si="6"/>
        <v>4351.5</v>
      </c>
      <c r="N88" s="81">
        <v>0</v>
      </c>
      <c r="O88" s="81">
        <f t="shared" si="3"/>
        <v>28526.5</v>
      </c>
      <c r="P88" s="55" t="s">
        <v>79</v>
      </c>
      <c r="Q88" s="246" t="s">
        <v>107</v>
      </c>
      <c r="R88" s="42"/>
    </row>
    <row r="89" spans="2:18" ht="15.5" x14ac:dyDescent="0.35">
      <c r="B89" s="250">
        <v>19</v>
      </c>
      <c r="C89" s="32" t="s">
        <v>126</v>
      </c>
      <c r="D89" s="79">
        <v>1</v>
      </c>
      <c r="E89" s="79"/>
      <c r="F89" s="80">
        <v>135000</v>
      </c>
      <c r="G89" s="80"/>
      <c r="H89" s="80"/>
      <c r="I89" s="80"/>
      <c r="J89" s="80"/>
      <c r="K89" s="80"/>
      <c r="L89" s="81">
        <v>675</v>
      </c>
      <c r="M89" s="81">
        <f t="shared" si="6"/>
        <v>121.5</v>
      </c>
      <c r="N89" s="81">
        <v>0</v>
      </c>
      <c r="O89" s="81">
        <f t="shared" si="3"/>
        <v>796.5</v>
      </c>
      <c r="P89" s="55" t="s">
        <v>79</v>
      </c>
      <c r="Q89" s="246" t="s">
        <v>107</v>
      </c>
      <c r="R89" s="42"/>
    </row>
    <row r="90" spans="2:18" ht="15.5" x14ac:dyDescent="0.35">
      <c r="B90" s="250">
        <v>20</v>
      </c>
      <c r="C90" s="32" t="s">
        <v>127</v>
      </c>
      <c r="D90" s="79">
        <v>4</v>
      </c>
      <c r="E90" s="79"/>
      <c r="F90" s="80">
        <v>3339000</v>
      </c>
      <c r="G90" s="80"/>
      <c r="H90" s="80"/>
      <c r="I90" s="80"/>
      <c r="J90" s="80"/>
      <c r="K90" s="80"/>
      <c r="L90" s="81">
        <v>16695</v>
      </c>
      <c r="M90" s="81">
        <f t="shared" si="6"/>
        <v>3005.1</v>
      </c>
      <c r="N90" s="81">
        <v>0</v>
      </c>
      <c r="O90" s="81">
        <f t="shared" si="3"/>
        <v>19700.099999999999</v>
      </c>
      <c r="P90" s="55" t="s">
        <v>79</v>
      </c>
      <c r="Q90" s="246" t="s">
        <v>107</v>
      </c>
      <c r="R90" s="42"/>
    </row>
    <row r="91" spans="2:18" ht="15.5" x14ac:dyDescent="0.35">
      <c r="B91" s="250">
        <v>21</v>
      </c>
      <c r="C91" s="33" t="s">
        <v>128</v>
      </c>
      <c r="D91" s="79">
        <v>1</v>
      </c>
      <c r="E91" s="79"/>
      <c r="F91" s="80">
        <v>470000</v>
      </c>
      <c r="G91" s="80"/>
      <c r="H91" s="80"/>
      <c r="I91" s="80"/>
      <c r="J91" s="80"/>
      <c r="K91" s="80"/>
      <c r="L91" s="81">
        <v>2350</v>
      </c>
      <c r="M91" s="81">
        <f t="shared" si="6"/>
        <v>423</v>
      </c>
      <c r="N91" s="81">
        <v>0</v>
      </c>
      <c r="O91" s="81">
        <f t="shared" si="3"/>
        <v>2773</v>
      </c>
      <c r="P91" s="55" t="s">
        <v>79</v>
      </c>
      <c r="Q91" s="246" t="s">
        <v>107</v>
      </c>
      <c r="R91" s="42"/>
    </row>
    <row r="92" spans="2:18" ht="15.5" x14ac:dyDescent="0.35">
      <c r="B92" s="132" t="s">
        <v>129</v>
      </c>
      <c r="C92" s="33"/>
      <c r="D92" s="79"/>
      <c r="E92" s="79"/>
      <c r="F92" s="80"/>
      <c r="G92" s="80"/>
      <c r="H92" s="80"/>
      <c r="I92" s="80"/>
      <c r="J92" s="80"/>
      <c r="K92" s="80"/>
      <c r="L92" s="53"/>
      <c r="M92" s="53"/>
      <c r="N92" s="53"/>
      <c r="O92" s="81"/>
      <c r="P92" s="55"/>
      <c r="Q92" s="52"/>
      <c r="R92" s="42"/>
    </row>
    <row r="93" spans="2:18" ht="15.5" x14ac:dyDescent="0.35">
      <c r="B93" s="250">
        <v>22</v>
      </c>
      <c r="C93" s="32" t="s">
        <v>130</v>
      </c>
      <c r="D93" s="79">
        <v>33</v>
      </c>
      <c r="E93" s="79"/>
      <c r="F93" s="80">
        <f>1178000+76000</f>
        <v>1254000</v>
      </c>
      <c r="G93" s="629">
        <v>7803282</v>
      </c>
      <c r="H93" s="629">
        <v>5213565</v>
      </c>
      <c r="I93" s="629">
        <v>8000000</v>
      </c>
      <c r="J93" s="629">
        <v>0</v>
      </c>
      <c r="K93" s="629">
        <v>400000</v>
      </c>
      <c r="L93" s="81">
        <v>6270</v>
      </c>
      <c r="M93" s="81">
        <f>L93*18%</f>
        <v>1128.5999999999999</v>
      </c>
      <c r="N93" s="81">
        <v>0</v>
      </c>
      <c r="O93" s="81">
        <f t="shared" si="3"/>
        <v>7398.6</v>
      </c>
      <c r="P93" s="55" t="s">
        <v>79</v>
      </c>
      <c r="Q93" s="246" t="s">
        <v>107</v>
      </c>
      <c r="R93" s="42"/>
    </row>
    <row r="94" spans="2:18" ht="29" x14ac:dyDescent="0.35">
      <c r="B94" s="250">
        <v>23</v>
      </c>
      <c r="C94" s="32" t="s">
        <v>131</v>
      </c>
      <c r="D94" s="79">
        <v>8</v>
      </c>
      <c r="E94" s="79"/>
      <c r="F94" s="80">
        <f>246000+82000</f>
        <v>328000</v>
      </c>
      <c r="G94" s="630"/>
      <c r="H94" s="630"/>
      <c r="I94" s="630"/>
      <c r="J94" s="630"/>
      <c r="K94" s="630"/>
      <c r="L94" s="81">
        <v>1640</v>
      </c>
      <c r="M94" s="81">
        <f>L94*18%</f>
        <v>295.2</v>
      </c>
      <c r="N94" s="81">
        <v>0</v>
      </c>
      <c r="O94" s="81">
        <f t="shared" si="3"/>
        <v>1935.2</v>
      </c>
      <c r="P94" s="55" t="s">
        <v>79</v>
      </c>
      <c r="Q94" s="246" t="s">
        <v>107</v>
      </c>
      <c r="R94" s="42"/>
    </row>
    <row r="95" spans="2:18" ht="29" x14ac:dyDescent="0.35">
      <c r="B95" s="250">
        <v>24</v>
      </c>
      <c r="C95" s="33" t="s">
        <v>132</v>
      </c>
      <c r="D95" s="79">
        <v>1</v>
      </c>
      <c r="E95" s="79"/>
      <c r="F95" s="80">
        <v>30000</v>
      </c>
      <c r="G95" s="631"/>
      <c r="H95" s="631"/>
      <c r="I95" s="631"/>
      <c r="J95" s="631"/>
      <c r="K95" s="631"/>
      <c r="L95" s="81">
        <v>150</v>
      </c>
      <c r="M95" s="81">
        <f>L95*18%</f>
        <v>27</v>
      </c>
      <c r="N95" s="81">
        <v>0</v>
      </c>
      <c r="O95" s="81">
        <f t="shared" si="3"/>
        <v>177</v>
      </c>
      <c r="P95" s="55" t="s">
        <v>79</v>
      </c>
      <c r="Q95" s="246" t="s">
        <v>107</v>
      </c>
      <c r="R95" s="42"/>
    </row>
    <row r="96" spans="2:18" ht="15.5" x14ac:dyDescent="0.35">
      <c r="B96" s="132" t="s">
        <v>133</v>
      </c>
      <c r="C96" s="33"/>
      <c r="D96" s="79"/>
      <c r="E96" s="79"/>
      <c r="F96" s="80"/>
      <c r="G96" s="80"/>
      <c r="H96" s="80"/>
      <c r="I96" s="80"/>
      <c r="J96" s="80"/>
      <c r="K96" s="80"/>
      <c r="L96" s="53"/>
      <c r="M96" s="53"/>
      <c r="N96" s="53"/>
      <c r="O96" s="81"/>
      <c r="P96" s="55"/>
      <c r="Q96" s="52"/>
      <c r="R96" s="42"/>
    </row>
    <row r="97" spans="2:18" ht="18" customHeight="1" x14ac:dyDescent="0.35">
      <c r="B97" s="250">
        <v>25</v>
      </c>
      <c r="C97" s="249" t="s">
        <v>134</v>
      </c>
      <c r="D97" s="250">
        <v>1</v>
      </c>
      <c r="E97" s="250"/>
      <c r="F97" s="131">
        <v>527000</v>
      </c>
      <c r="G97" s="131"/>
      <c r="H97" s="131"/>
      <c r="I97" s="131"/>
      <c r="J97" s="131"/>
      <c r="K97" s="131"/>
      <c r="L97" s="81">
        <v>2635</v>
      </c>
      <c r="M97" s="81">
        <f>L97*18%</f>
        <v>474.29999999999995</v>
      </c>
      <c r="N97" s="81"/>
      <c r="O97" s="81">
        <f t="shared" si="3"/>
        <v>3109.3</v>
      </c>
      <c r="P97" s="55" t="s">
        <v>79</v>
      </c>
      <c r="Q97" s="246" t="s">
        <v>107</v>
      </c>
      <c r="R97" s="42"/>
    </row>
    <row r="98" spans="2:18" ht="15.5" x14ac:dyDescent="0.35">
      <c r="B98" s="132" t="s">
        <v>135</v>
      </c>
      <c r="C98" s="249"/>
      <c r="D98" s="250"/>
      <c r="E98" s="250"/>
      <c r="F98" s="131"/>
      <c r="G98" s="131"/>
      <c r="H98" s="131"/>
      <c r="I98" s="131"/>
      <c r="J98" s="131"/>
      <c r="K98" s="131"/>
      <c r="L98" s="53"/>
      <c r="M98" s="53"/>
      <c r="N98" s="53"/>
      <c r="O98" s="81"/>
      <c r="P98" s="55"/>
      <c r="Q98" s="52"/>
      <c r="R98" s="42"/>
    </row>
    <row r="99" spans="2:18" ht="18" customHeight="1" x14ac:dyDescent="0.35">
      <c r="B99" s="250">
        <v>26</v>
      </c>
      <c r="C99" s="32" t="s">
        <v>136</v>
      </c>
      <c r="D99" s="79">
        <v>2</v>
      </c>
      <c r="E99" s="79"/>
      <c r="F99" s="80">
        <v>95000</v>
      </c>
      <c r="G99" s="80"/>
      <c r="H99" s="80"/>
      <c r="I99" s="80"/>
      <c r="J99" s="80"/>
      <c r="K99" s="80"/>
      <c r="L99" s="81">
        <v>475</v>
      </c>
      <c r="M99" s="81">
        <f>L99*18%</f>
        <v>85.5</v>
      </c>
      <c r="N99" s="81">
        <v>0</v>
      </c>
      <c r="O99" s="81">
        <f t="shared" si="3"/>
        <v>560.5</v>
      </c>
      <c r="P99" s="55" t="s">
        <v>79</v>
      </c>
      <c r="Q99" s="246" t="s">
        <v>107</v>
      </c>
      <c r="R99" s="42"/>
    </row>
    <row r="100" spans="2:18" ht="15.5" x14ac:dyDescent="0.35">
      <c r="B100" s="250">
        <v>27</v>
      </c>
      <c r="C100" s="32" t="s">
        <v>137</v>
      </c>
      <c r="D100" s="79">
        <v>3</v>
      </c>
      <c r="E100" s="79"/>
      <c r="F100" s="131">
        <v>108000</v>
      </c>
      <c r="G100" s="131"/>
      <c r="H100" s="131"/>
      <c r="I100" s="131"/>
      <c r="J100" s="131"/>
      <c r="K100" s="131"/>
      <c r="L100" s="81">
        <v>540</v>
      </c>
      <c r="M100" s="81">
        <f>L100*18%</f>
        <v>97.2</v>
      </c>
      <c r="N100" s="81">
        <v>0</v>
      </c>
      <c r="O100" s="81">
        <f t="shared" si="3"/>
        <v>637.20000000000005</v>
      </c>
      <c r="P100" s="55" t="s">
        <v>79</v>
      </c>
      <c r="Q100" s="246" t="s">
        <v>107</v>
      </c>
      <c r="R100" s="42"/>
    </row>
    <row r="101" spans="2:18" ht="15.5" x14ac:dyDescent="0.35">
      <c r="B101" s="250">
        <v>28</v>
      </c>
      <c r="C101" s="33" t="s">
        <v>138</v>
      </c>
      <c r="D101" s="79">
        <v>1</v>
      </c>
      <c r="E101" s="79"/>
      <c r="F101" s="80">
        <v>44800</v>
      </c>
      <c r="G101" s="80">
        <v>47500</v>
      </c>
      <c r="H101" s="80">
        <v>28492</v>
      </c>
      <c r="I101" s="80">
        <v>42000</v>
      </c>
      <c r="J101" s="80"/>
      <c r="K101" s="80">
        <v>2100</v>
      </c>
      <c r="L101" s="81">
        <v>293</v>
      </c>
      <c r="M101" s="81">
        <f>L101*18/100</f>
        <v>52.74</v>
      </c>
      <c r="N101" s="135">
        <v>0</v>
      </c>
      <c r="O101" s="81">
        <f t="shared" ref="O101:O110" si="7">L101+M101+N101</f>
        <v>345.74</v>
      </c>
      <c r="P101" s="55" t="s">
        <v>19</v>
      </c>
      <c r="Q101" s="52" t="s">
        <v>107</v>
      </c>
      <c r="R101" s="42"/>
    </row>
    <row r="102" spans="2:18" ht="15.5" x14ac:dyDescent="0.35">
      <c r="B102" s="250">
        <v>29</v>
      </c>
      <c r="C102" s="33" t="s">
        <v>139</v>
      </c>
      <c r="D102" s="79">
        <v>1</v>
      </c>
      <c r="E102" s="79"/>
      <c r="F102" s="80">
        <v>70000</v>
      </c>
      <c r="G102" s="80"/>
      <c r="H102" s="80"/>
      <c r="I102" s="80"/>
      <c r="J102" s="80"/>
      <c r="K102" s="80"/>
      <c r="L102" s="81">
        <v>350</v>
      </c>
      <c r="M102" s="81">
        <f>L102*18%</f>
        <v>63</v>
      </c>
      <c r="N102" s="81">
        <v>0</v>
      </c>
      <c r="O102" s="81">
        <f t="shared" si="7"/>
        <v>413</v>
      </c>
      <c r="P102" s="55" t="s">
        <v>79</v>
      </c>
      <c r="Q102" s="246" t="s">
        <v>107</v>
      </c>
      <c r="R102" s="42"/>
    </row>
    <row r="103" spans="2:18" ht="15.5" x14ac:dyDescent="0.35">
      <c r="B103" s="250">
        <v>30</v>
      </c>
      <c r="C103" s="33" t="s">
        <v>140</v>
      </c>
      <c r="D103" s="79">
        <v>1</v>
      </c>
      <c r="E103" s="79"/>
      <c r="F103" s="80">
        <v>41000</v>
      </c>
      <c r="G103" s="80"/>
      <c r="H103" s="80"/>
      <c r="I103" s="80"/>
      <c r="J103" s="80"/>
      <c r="K103" s="80"/>
      <c r="L103" s="81">
        <v>205</v>
      </c>
      <c r="M103" s="81">
        <f>L103*18%</f>
        <v>36.9</v>
      </c>
      <c r="N103" s="81">
        <v>0</v>
      </c>
      <c r="O103" s="81">
        <f t="shared" si="7"/>
        <v>241.9</v>
      </c>
      <c r="P103" s="55" t="s">
        <v>79</v>
      </c>
      <c r="Q103" s="246" t="s">
        <v>107</v>
      </c>
      <c r="R103" s="42"/>
    </row>
    <row r="104" spans="2:18" ht="17" x14ac:dyDescent="0.35">
      <c r="B104" s="136" t="s">
        <v>141</v>
      </c>
      <c r="C104" s="55"/>
      <c r="D104" s="79"/>
      <c r="E104" s="79"/>
      <c r="F104" s="137"/>
      <c r="G104" s="137"/>
      <c r="H104" s="137"/>
      <c r="I104" s="137"/>
      <c r="J104" s="137"/>
      <c r="K104" s="137"/>
      <c r="L104" s="53"/>
      <c r="M104" s="53"/>
      <c r="N104" s="53"/>
      <c r="O104" s="81"/>
      <c r="P104" s="55"/>
      <c r="Q104" s="52"/>
      <c r="R104" s="42"/>
    </row>
    <row r="105" spans="2:18" ht="18.75" customHeight="1" x14ac:dyDescent="0.35">
      <c r="B105" s="250">
        <v>1</v>
      </c>
      <c r="C105" s="249" t="s">
        <v>142</v>
      </c>
      <c r="D105" s="250">
        <v>1</v>
      </c>
      <c r="E105" s="250"/>
      <c r="F105" s="131">
        <v>40000</v>
      </c>
      <c r="G105" s="131"/>
      <c r="H105" s="131"/>
      <c r="I105" s="131"/>
      <c r="J105" s="131"/>
      <c r="K105" s="131"/>
      <c r="L105" s="81">
        <v>200</v>
      </c>
      <c r="M105" s="81">
        <f>L105*18%</f>
        <v>36</v>
      </c>
      <c r="N105" s="81">
        <v>0</v>
      </c>
      <c r="O105" s="81">
        <f t="shared" si="7"/>
        <v>236</v>
      </c>
      <c r="P105" s="55" t="s">
        <v>79</v>
      </c>
      <c r="Q105" s="246" t="s">
        <v>107</v>
      </c>
      <c r="R105" s="42"/>
    </row>
    <row r="106" spans="2:18" ht="18.75" customHeight="1" x14ac:dyDescent="0.35">
      <c r="B106" s="250">
        <v>2</v>
      </c>
      <c r="C106" s="32" t="s">
        <v>143</v>
      </c>
      <c r="D106" s="79">
        <v>1</v>
      </c>
      <c r="E106" s="79"/>
      <c r="F106" s="131">
        <v>45000</v>
      </c>
      <c r="G106" s="131"/>
      <c r="H106" s="131"/>
      <c r="I106" s="131"/>
      <c r="J106" s="131"/>
      <c r="K106" s="131"/>
      <c r="L106" s="81">
        <v>225</v>
      </c>
      <c r="M106" s="81">
        <f>L106*18%</f>
        <v>40.5</v>
      </c>
      <c r="N106" s="81">
        <v>0</v>
      </c>
      <c r="O106" s="81">
        <f t="shared" si="7"/>
        <v>265.5</v>
      </c>
      <c r="P106" s="55" t="s">
        <v>79</v>
      </c>
      <c r="Q106" s="246" t="s">
        <v>107</v>
      </c>
      <c r="R106" s="42"/>
    </row>
    <row r="107" spans="2:18" ht="15.5" x14ac:dyDescent="0.35">
      <c r="B107" s="250">
        <v>3</v>
      </c>
      <c r="C107" s="249" t="s">
        <v>144</v>
      </c>
      <c r="D107" s="250">
        <v>1</v>
      </c>
      <c r="E107" s="250"/>
      <c r="F107" s="131">
        <v>40000</v>
      </c>
      <c r="G107" s="131"/>
      <c r="H107" s="131"/>
      <c r="I107" s="131"/>
      <c r="J107" s="131"/>
      <c r="K107" s="131"/>
      <c r="L107" s="81">
        <v>200</v>
      </c>
      <c r="M107" s="81">
        <f>L107*18%</f>
        <v>36</v>
      </c>
      <c r="N107" s="81">
        <v>0</v>
      </c>
      <c r="O107" s="81">
        <f t="shared" si="7"/>
        <v>236</v>
      </c>
      <c r="P107" s="55" t="s">
        <v>79</v>
      </c>
      <c r="Q107" s="246" t="s">
        <v>107</v>
      </c>
      <c r="R107" s="42"/>
    </row>
    <row r="108" spans="2:18" ht="17.25" customHeight="1" x14ac:dyDescent="0.35">
      <c r="B108" s="250">
        <v>4</v>
      </c>
      <c r="C108" s="249" t="s">
        <v>145</v>
      </c>
      <c r="D108" s="250">
        <v>1</v>
      </c>
      <c r="E108" s="250"/>
      <c r="F108" s="131">
        <v>36000</v>
      </c>
      <c r="G108" s="131"/>
      <c r="H108" s="131"/>
      <c r="I108" s="131"/>
      <c r="J108" s="131"/>
      <c r="K108" s="131"/>
      <c r="L108" s="81">
        <v>180</v>
      </c>
      <c r="M108" s="81">
        <f>L108*18%</f>
        <v>32.4</v>
      </c>
      <c r="N108" s="81">
        <v>0</v>
      </c>
      <c r="O108" s="81">
        <f t="shared" si="7"/>
        <v>212.4</v>
      </c>
      <c r="P108" s="55" t="s">
        <v>79</v>
      </c>
      <c r="Q108" s="246" t="s">
        <v>107</v>
      </c>
      <c r="R108" s="42"/>
    </row>
    <row r="109" spans="2:18" ht="19.5" x14ac:dyDescent="0.35">
      <c r="B109" s="133" t="s">
        <v>146</v>
      </c>
      <c r="C109" s="33"/>
      <c r="D109" s="79"/>
      <c r="E109" s="79"/>
      <c r="F109" s="80"/>
      <c r="G109" s="80"/>
      <c r="H109" s="80"/>
      <c r="I109" s="80"/>
      <c r="J109" s="80"/>
      <c r="K109" s="80"/>
      <c r="L109" s="53"/>
      <c r="M109" s="53"/>
      <c r="N109" s="53"/>
      <c r="O109" s="81"/>
      <c r="P109" s="55"/>
      <c r="Q109" s="52"/>
      <c r="R109" s="42"/>
    </row>
    <row r="110" spans="2:18" s="2" customFormat="1" ht="33.75" customHeight="1" x14ac:dyDescent="0.35">
      <c r="B110" s="79">
        <v>1</v>
      </c>
      <c r="C110" s="128" t="s">
        <v>147</v>
      </c>
      <c r="D110" s="247"/>
      <c r="E110" s="247"/>
      <c r="F110" s="80">
        <v>388000</v>
      </c>
      <c r="G110" s="80"/>
      <c r="H110" s="80"/>
      <c r="I110" s="80"/>
      <c r="J110" s="80"/>
      <c r="K110" s="80"/>
      <c r="L110" s="81">
        <v>2910</v>
      </c>
      <c r="M110" s="81">
        <f>L110*18%</f>
        <v>523.79999999999995</v>
      </c>
      <c r="N110" s="81"/>
      <c r="O110" s="81">
        <f t="shared" si="7"/>
        <v>3433.8</v>
      </c>
      <c r="P110" s="55" t="s">
        <v>79</v>
      </c>
      <c r="Q110" s="246" t="s">
        <v>148</v>
      </c>
      <c r="R110" s="42"/>
    </row>
    <row r="111" spans="2:18" ht="19.5" x14ac:dyDescent="0.35">
      <c r="B111" s="133" t="s">
        <v>159</v>
      </c>
      <c r="C111" s="33"/>
      <c r="D111" s="250"/>
      <c r="E111" s="250"/>
      <c r="F111" s="53"/>
      <c r="G111" s="53"/>
      <c r="H111" s="53"/>
      <c r="I111" s="53"/>
      <c r="J111" s="53"/>
      <c r="K111" s="53"/>
      <c r="L111" s="53"/>
      <c r="M111" s="53"/>
      <c r="N111" s="53"/>
      <c r="O111" s="54"/>
      <c r="P111" s="55"/>
      <c r="Q111" s="33"/>
    </row>
    <row r="112" spans="2:18" ht="43.5" x14ac:dyDescent="0.35">
      <c r="B112" s="250">
        <v>1</v>
      </c>
      <c r="C112" s="78" t="s">
        <v>152</v>
      </c>
      <c r="D112" s="250"/>
      <c r="E112" s="250"/>
      <c r="F112" s="137">
        <v>700000000</v>
      </c>
      <c r="G112" s="137"/>
      <c r="H112" s="137"/>
      <c r="I112" s="137"/>
      <c r="J112" s="137"/>
      <c r="K112" s="137"/>
      <c r="L112" s="140">
        <v>148723</v>
      </c>
      <c r="M112" s="140">
        <v>26770</v>
      </c>
      <c r="N112" s="55">
        <v>0</v>
      </c>
      <c r="O112" s="248">
        <f>+L112+M112+N112</f>
        <v>175493</v>
      </c>
      <c r="P112" s="55" t="s">
        <v>44</v>
      </c>
      <c r="Q112" s="32" t="s">
        <v>151</v>
      </c>
    </row>
    <row r="113" spans="2:17" x14ac:dyDescent="0.35">
      <c r="B113" s="250"/>
      <c r="C113" s="141"/>
      <c r="D113" s="250"/>
      <c r="E113" s="250"/>
      <c r="F113" s="131"/>
      <c r="G113" s="131"/>
      <c r="H113" s="131"/>
      <c r="I113" s="131"/>
      <c r="J113" s="131"/>
      <c r="K113" s="131"/>
      <c r="L113" s="53">
        <v>0</v>
      </c>
      <c r="M113" s="53">
        <v>0</v>
      </c>
      <c r="N113" s="53">
        <v>0</v>
      </c>
      <c r="O113" s="53">
        <v>0</v>
      </c>
      <c r="P113" s="55"/>
      <c r="Q113" s="56"/>
    </row>
    <row r="114" spans="2:17" ht="15.5" x14ac:dyDescent="0.35">
      <c r="B114" s="250"/>
      <c r="C114" s="268" t="s">
        <v>150</v>
      </c>
      <c r="D114" s="250"/>
      <c r="E114" s="250"/>
      <c r="F114" s="58">
        <f>SUM(F5:F113)</f>
        <v>3666177805</v>
      </c>
      <c r="G114" s="58"/>
      <c r="H114" s="58"/>
      <c r="I114" s="58"/>
      <c r="J114" s="58"/>
      <c r="K114" s="58"/>
      <c r="L114" s="57">
        <f>SUM(L5:L112)</f>
        <v>2804118</v>
      </c>
      <c r="M114" s="57">
        <f>SUM(M5:M112)</f>
        <v>504741.32</v>
      </c>
      <c r="N114" s="57">
        <f>SUM(N5:N112)</f>
        <v>79855</v>
      </c>
      <c r="O114" s="57">
        <f>SUM(O5:O112)</f>
        <v>3388714.3199999989</v>
      </c>
      <c r="P114" s="55"/>
      <c r="Q114" s="33"/>
    </row>
    <row r="120" spans="2:17" ht="15.5" x14ac:dyDescent="0.35">
      <c r="C120" s="76"/>
      <c r="D120" s="76"/>
      <c r="E120" s="76"/>
      <c r="F120" s="76"/>
      <c r="G120" s="76"/>
      <c r="H120" s="76"/>
      <c r="I120" s="76"/>
      <c r="J120" s="76"/>
      <c r="K120" s="76"/>
      <c r="L120" s="76"/>
      <c r="N120" s="35"/>
    </row>
    <row r="121" spans="2:17" ht="15.5" x14ac:dyDescent="0.35">
      <c r="C121" s="76"/>
      <c r="D121" s="77"/>
      <c r="E121" s="77"/>
      <c r="F121" s="76"/>
      <c r="G121" s="76"/>
      <c r="H121" s="76"/>
      <c r="I121" s="76"/>
      <c r="J121" s="76"/>
      <c r="K121" s="76"/>
      <c r="L121" s="76"/>
      <c r="N121" s="35"/>
    </row>
    <row r="122" spans="2:17" ht="15.5" x14ac:dyDescent="0.35">
      <c r="C122" s="76"/>
      <c r="D122" s="77"/>
      <c r="E122" s="77"/>
      <c r="F122" s="76"/>
      <c r="G122" s="76"/>
      <c r="H122" s="76"/>
      <c r="I122" s="76"/>
      <c r="J122" s="76"/>
      <c r="K122" s="76"/>
      <c r="L122" s="76"/>
      <c r="N122" s="35"/>
    </row>
    <row r="123" spans="2:17" ht="15.5" x14ac:dyDescent="0.35">
      <c r="C123" s="76"/>
      <c r="D123" s="76"/>
      <c r="E123" s="76"/>
      <c r="F123" s="76"/>
      <c r="G123" s="76"/>
      <c r="H123" s="76"/>
      <c r="I123" s="76"/>
      <c r="J123" s="76"/>
      <c r="K123" s="76"/>
      <c r="L123" s="76"/>
      <c r="N123" s="35"/>
    </row>
    <row r="125" spans="2:17" x14ac:dyDescent="0.35">
      <c r="D125" s="2"/>
      <c r="E125" s="2"/>
      <c r="F125" s="50"/>
      <c r="G125" s="50"/>
      <c r="H125" s="50"/>
      <c r="I125" s="50"/>
      <c r="J125" s="50"/>
      <c r="K125" s="50"/>
      <c r="L125" s="50"/>
    </row>
  </sheetData>
  <mergeCells count="33">
    <mergeCell ref="Q33:Q36"/>
    <mergeCell ref="L33:L36"/>
    <mergeCell ref="M33:M36"/>
    <mergeCell ref="N33:N36"/>
    <mergeCell ref="O33:O36"/>
    <mergeCell ref="J33:J36"/>
    <mergeCell ref="K33:K36"/>
    <mergeCell ref="P33:P36"/>
    <mergeCell ref="K29:K30"/>
    <mergeCell ref="J29:J30"/>
    <mergeCell ref="G93:G95"/>
    <mergeCell ref="H93:H95"/>
    <mergeCell ref="I93:I95"/>
    <mergeCell ref="J93:J95"/>
    <mergeCell ref="K93:K95"/>
    <mergeCell ref="B29:B30"/>
    <mergeCell ref="E29:E30"/>
    <mergeCell ref="G29:G30"/>
    <mergeCell ref="H29:H30"/>
    <mergeCell ref="I29:I30"/>
    <mergeCell ref="F33:F36"/>
    <mergeCell ref="G33:G36"/>
    <mergeCell ref="H33:H36"/>
    <mergeCell ref="H27:H28"/>
    <mergeCell ref="I27:I28"/>
    <mergeCell ref="I33:I36"/>
    <mergeCell ref="B2:Q2"/>
    <mergeCell ref="E15:E20"/>
    <mergeCell ref="B27:B28"/>
    <mergeCell ref="E27:E28"/>
    <mergeCell ref="G27:G28"/>
    <mergeCell ref="J27:J28"/>
    <mergeCell ref="K27:K28"/>
  </mergeCells>
  <pageMargins left="0.7" right="0.7" top="0.75" bottom="0.75" header="0.3" footer="0.3"/>
  <pageSetup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211"/>
  <sheetViews>
    <sheetView topLeftCell="A76" workbookViewId="0">
      <selection activeCell="S13" sqref="S13"/>
    </sheetView>
  </sheetViews>
  <sheetFormatPr defaultColWidth="9.1796875" defaultRowHeight="14.5" x14ac:dyDescent="0.35"/>
  <cols>
    <col min="1" max="1" width="9" style="90" bestFit="1" customWidth="1"/>
    <col min="2" max="2" width="52.453125" style="90" bestFit="1" customWidth="1"/>
    <col min="3" max="3" width="10.1796875" style="90" bestFit="1" customWidth="1"/>
    <col min="4" max="4" width="14.453125" style="90" customWidth="1"/>
    <col min="5" max="5" width="11.7265625" style="90" hidden="1" customWidth="1"/>
    <col min="6" max="6" width="12.453125" style="90" hidden="1" customWidth="1"/>
    <col min="7" max="7" width="13.81640625" style="90" hidden="1" customWidth="1"/>
    <col min="8" max="8" width="14.453125" style="90" hidden="1" customWidth="1"/>
    <col min="9" max="9" width="15.1796875" style="90" hidden="1" customWidth="1"/>
    <col min="10" max="10" width="12.1796875" style="90" hidden="1" customWidth="1"/>
    <col min="11" max="11" width="14.1796875" style="90" hidden="1" customWidth="1"/>
    <col min="12" max="12" width="15.1796875" style="90" hidden="1" customWidth="1"/>
    <col min="13" max="13" width="14.453125" style="90" bestFit="1" customWidth="1"/>
    <col min="14" max="14" width="14.453125" style="90" hidden="1" customWidth="1"/>
    <col min="15" max="16" width="17.54296875" style="72" bestFit="1" customWidth="1"/>
    <col min="17" max="17" width="16" style="72" bestFit="1" customWidth="1"/>
    <col min="18" max="18" width="9.1796875" style="90"/>
    <col min="19" max="19" width="14.81640625" style="90" bestFit="1" customWidth="1"/>
    <col min="20" max="16384" width="9.1796875" style="90"/>
  </cols>
  <sheetData>
    <row r="1" spans="1:256" ht="15" thickBot="1" x14ac:dyDescent="0.4"/>
    <row r="2" spans="1:256" s="171" customFormat="1" ht="29.5" thickBot="1" x14ac:dyDescent="0.4">
      <c r="A2" s="168" t="s">
        <v>263</v>
      </c>
      <c r="B2" s="169" t="s">
        <v>250</v>
      </c>
      <c r="C2" s="169" t="s">
        <v>251</v>
      </c>
      <c r="D2" s="169" t="s">
        <v>252</v>
      </c>
      <c r="E2" s="169" t="s">
        <v>253</v>
      </c>
      <c r="F2" s="169" t="s">
        <v>254</v>
      </c>
      <c r="G2" s="169" t="s">
        <v>255</v>
      </c>
      <c r="H2" s="169" t="s">
        <v>256</v>
      </c>
      <c r="I2" s="169" t="s">
        <v>257</v>
      </c>
      <c r="J2" s="169" t="s">
        <v>258</v>
      </c>
      <c r="K2" s="169" t="s">
        <v>259</v>
      </c>
      <c r="L2" s="169" t="s">
        <v>260</v>
      </c>
      <c r="M2" s="169" t="s">
        <v>261</v>
      </c>
      <c r="N2" s="191" t="s">
        <v>262</v>
      </c>
      <c r="O2" s="192" t="s">
        <v>185</v>
      </c>
      <c r="P2" s="192" t="s">
        <v>186</v>
      </c>
      <c r="Q2" s="192" t="s">
        <v>187</v>
      </c>
      <c r="R2" s="170"/>
      <c r="S2" s="170"/>
      <c r="T2" s="170"/>
      <c r="U2" s="170"/>
      <c r="V2" s="170"/>
      <c r="W2" s="170"/>
      <c r="X2" s="170"/>
      <c r="Y2" s="170"/>
      <c r="Z2" s="170"/>
      <c r="AA2" s="170"/>
      <c r="AB2" s="170"/>
      <c r="AC2" s="170"/>
      <c r="AD2" s="170"/>
      <c r="AE2" s="170"/>
      <c r="AF2" s="170"/>
      <c r="AG2" s="170"/>
      <c r="AH2" s="170"/>
      <c r="AI2" s="170"/>
      <c r="AJ2" s="170"/>
      <c r="AK2" s="170"/>
      <c r="AL2" s="170"/>
      <c r="AM2" s="170"/>
      <c r="AN2" s="170"/>
      <c r="AO2" s="170"/>
      <c r="AP2" s="170"/>
      <c r="AQ2" s="170"/>
      <c r="AR2" s="170"/>
      <c r="AS2" s="170"/>
      <c r="AT2" s="170"/>
      <c r="AU2" s="170"/>
      <c r="AV2" s="170"/>
      <c r="AW2" s="170"/>
      <c r="AX2" s="170"/>
      <c r="AY2" s="170"/>
      <c r="AZ2" s="170"/>
      <c r="BA2" s="170"/>
      <c r="BB2" s="170"/>
      <c r="BC2" s="170"/>
      <c r="BD2" s="170"/>
      <c r="BE2" s="170"/>
      <c r="BF2" s="170"/>
      <c r="BG2" s="170"/>
      <c r="BH2" s="170"/>
      <c r="BI2" s="170"/>
      <c r="BJ2" s="170"/>
      <c r="BK2" s="170"/>
      <c r="BL2" s="170"/>
      <c r="BM2" s="170"/>
      <c r="BN2" s="170"/>
      <c r="BO2" s="170"/>
      <c r="BP2" s="170"/>
      <c r="BQ2" s="170"/>
      <c r="BR2" s="170"/>
      <c r="BS2" s="170"/>
      <c r="BT2" s="170"/>
      <c r="BU2" s="170"/>
      <c r="BV2" s="170"/>
      <c r="BW2" s="170"/>
      <c r="BX2" s="170"/>
      <c r="BY2" s="170"/>
      <c r="BZ2" s="170"/>
      <c r="CA2" s="170"/>
      <c r="CB2" s="170"/>
      <c r="CC2" s="170"/>
      <c r="CD2" s="170"/>
      <c r="CE2" s="170"/>
      <c r="CF2" s="170"/>
      <c r="CG2" s="170"/>
      <c r="CH2" s="170"/>
      <c r="CI2" s="170"/>
      <c r="CJ2" s="170"/>
      <c r="CK2" s="170"/>
      <c r="CL2" s="170"/>
      <c r="CM2" s="170"/>
      <c r="CN2" s="170"/>
      <c r="CO2" s="170"/>
      <c r="CP2" s="170"/>
      <c r="CQ2" s="170"/>
      <c r="CR2" s="170"/>
      <c r="CS2" s="170"/>
      <c r="CT2" s="170"/>
      <c r="CU2" s="170"/>
      <c r="CV2" s="170"/>
      <c r="CW2" s="170"/>
      <c r="CX2" s="170"/>
      <c r="CY2" s="170"/>
      <c r="CZ2" s="170"/>
      <c r="DA2" s="170"/>
      <c r="DB2" s="170"/>
      <c r="DC2" s="170"/>
      <c r="DD2" s="170"/>
      <c r="DE2" s="170"/>
      <c r="DF2" s="170"/>
      <c r="DG2" s="170"/>
      <c r="DH2" s="170"/>
      <c r="DI2" s="170"/>
      <c r="DJ2" s="170"/>
      <c r="DK2" s="170"/>
      <c r="DL2" s="170"/>
      <c r="DM2" s="170"/>
      <c r="DN2" s="170"/>
      <c r="DO2" s="170"/>
      <c r="DP2" s="170"/>
      <c r="DQ2" s="170"/>
      <c r="DR2" s="170"/>
      <c r="DS2" s="170"/>
      <c r="DT2" s="170"/>
      <c r="DU2" s="170"/>
      <c r="DV2" s="170"/>
      <c r="DW2" s="170"/>
      <c r="DX2" s="170"/>
      <c r="DY2" s="170"/>
      <c r="DZ2" s="170"/>
      <c r="EA2" s="170"/>
      <c r="EB2" s="170"/>
      <c r="EC2" s="170"/>
      <c r="ED2" s="170"/>
      <c r="EE2" s="170"/>
      <c r="EF2" s="170"/>
      <c r="EG2" s="170"/>
      <c r="EH2" s="170"/>
      <c r="EI2" s="170"/>
      <c r="EJ2" s="170"/>
      <c r="EK2" s="170"/>
      <c r="EL2" s="170"/>
      <c r="EM2" s="170"/>
      <c r="EN2" s="170"/>
      <c r="EO2" s="170"/>
      <c r="EP2" s="170"/>
      <c r="EQ2" s="170"/>
      <c r="ER2" s="170"/>
      <c r="ES2" s="170"/>
      <c r="ET2" s="170"/>
      <c r="EU2" s="170"/>
      <c r="EV2" s="170"/>
      <c r="EW2" s="170"/>
      <c r="EX2" s="170"/>
      <c r="EY2" s="170"/>
      <c r="EZ2" s="170"/>
      <c r="FA2" s="170"/>
      <c r="FB2" s="170"/>
      <c r="FC2" s="170"/>
      <c r="FD2" s="170"/>
      <c r="FE2" s="170"/>
      <c r="FF2" s="170"/>
      <c r="FG2" s="170"/>
      <c r="FH2" s="170"/>
      <c r="FI2" s="170"/>
      <c r="FJ2" s="170"/>
      <c r="FK2" s="170"/>
      <c r="FL2" s="170"/>
      <c r="FM2" s="170"/>
      <c r="FN2" s="170"/>
      <c r="FO2" s="170"/>
      <c r="FP2" s="170"/>
      <c r="FQ2" s="170"/>
      <c r="FR2" s="170"/>
      <c r="FS2" s="170"/>
      <c r="FT2" s="170"/>
      <c r="FU2" s="170"/>
      <c r="FV2" s="170"/>
      <c r="FW2" s="170"/>
      <c r="FX2" s="170"/>
      <c r="FY2" s="170"/>
      <c r="FZ2" s="170"/>
      <c r="GA2" s="170"/>
      <c r="GB2" s="170"/>
      <c r="GC2" s="170"/>
      <c r="GD2" s="170"/>
      <c r="GE2" s="170"/>
      <c r="GF2" s="170"/>
      <c r="GG2" s="170"/>
      <c r="GH2" s="170"/>
      <c r="GI2" s="170"/>
      <c r="GJ2" s="170"/>
      <c r="GK2" s="170"/>
      <c r="GL2" s="170"/>
      <c r="GM2" s="170"/>
      <c r="GN2" s="170"/>
      <c r="GO2" s="170"/>
      <c r="GP2" s="170"/>
      <c r="GQ2" s="170"/>
      <c r="GR2" s="170"/>
      <c r="GS2" s="170"/>
      <c r="GT2" s="170"/>
      <c r="GU2" s="170"/>
      <c r="GV2" s="170"/>
      <c r="GW2" s="170"/>
      <c r="GX2" s="170"/>
      <c r="GY2" s="170"/>
      <c r="GZ2" s="170"/>
      <c r="HA2" s="170"/>
      <c r="HB2" s="170"/>
      <c r="HC2" s="170"/>
      <c r="HD2" s="170"/>
      <c r="HE2" s="170"/>
      <c r="HF2" s="170"/>
      <c r="HG2" s="170"/>
      <c r="HH2" s="170"/>
      <c r="HI2" s="170"/>
      <c r="HJ2" s="170"/>
      <c r="HK2" s="170"/>
      <c r="HL2" s="170"/>
      <c r="HM2" s="170"/>
      <c r="HN2" s="170"/>
      <c r="HO2" s="170"/>
      <c r="HP2" s="170"/>
      <c r="HQ2" s="170"/>
      <c r="HR2" s="170"/>
      <c r="HS2" s="170"/>
      <c r="HT2" s="170"/>
      <c r="HU2" s="170"/>
      <c r="HV2" s="170"/>
      <c r="HW2" s="170"/>
      <c r="HX2" s="170"/>
      <c r="HY2" s="170"/>
      <c r="HZ2" s="170"/>
      <c r="IA2" s="170"/>
      <c r="IB2" s="170"/>
      <c r="IC2" s="170"/>
      <c r="ID2" s="170"/>
      <c r="IE2" s="170"/>
      <c r="IF2" s="170"/>
      <c r="IG2" s="170"/>
      <c r="IH2" s="170"/>
      <c r="II2" s="170"/>
      <c r="IJ2" s="170"/>
      <c r="IK2" s="170"/>
      <c r="IL2" s="170"/>
      <c r="IM2" s="170"/>
      <c r="IN2" s="170"/>
      <c r="IO2" s="170"/>
      <c r="IP2" s="170"/>
      <c r="IQ2" s="170"/>
      <c r="IR2" s="170"/>
      <c r="IS2" s="170"/>
      <c r="IT2" s="170"/>
      <c r="IU2" s="170"/>
      <c r="IV2" s="170"/>
    </row>
    <row r="3" spans="1:256" s="99" customFormat="1" ht="20" thickBot="1" x14ac:dyDescent="0.4">
      <c r="A3" s="672" t="s">
        <v>7</v>
      </c>
      <c r="B3" s="673"/>
      <c r="C3" s="103"/>
      <c r="D3" s="103"/>
      <c r="E3" s="103"/>
      <c r="F3" s="103"/>
      <c r="G3" s="103"/>
      <c r="H3" s="103"/>
      <c r="I3" s="103"/>
      <c r="J3" s="103"/>
      <c r="K3" s="103"/>
      <c r="L3" s="103"/>
      <c r="M3" s="103"/>
      <c r="N3" s="104"/>
      <c r="O3" s="193"/>
      <c r="P3" s="193"/>
      <c r="Q3" s="193"/>
    </row>
    <row r="4" spans="1:256" s="100" customFormat="1" ht="15.5" x14ac:dyDescent="0.35">
      <c r="A4" s="117">
        <v>1</v>
      </c>
      <c r="B4" s="118" t="s">
        <v>8</v>
      </c>
      <c r="C4" s="119"/>
      <c r="D4" s="119"/>
      <c r="E4" s="119"/>
      <c r="F4" s="119"/>
      <c r="G4" s="119"/>
      <c r="H4" s="119"/>
      <c r="I4" s="119"/>
      <c r="J4" s="119"/>
      <c r="K4" s="119"/>
      <c r="L4" s="119"/>
      <c r="M4" s="119"/>
      <c r="N4" s="120"/>
      <c r="O4" s="206"/>
      <c r="P4" s="206"/>
      <c r="Q4" s="207"/>
    </row>
    <row r="5" spans="1:256" s="99" customFormat="1" ht="15" thickBot="1" x14ac:dyDescent="0.4">
      <c r="A5" s="113">
        <v>10500005</v>
      </c>
      <c r="B5" s="114" t="s">
        <v>190</v>
      </c>
      <c r="C5" s="114" t="s">
        <v>191</v>
      </c>
      <c r="D5" s="115">
        <v>353344431</v>
      </c>
      <c r="E5" s="114">
        <v>0</v>
      </c>
      <c r="F5" s="114">
        <v>0</v>
      </c>
      <c r="G5" s="114">
        <v>0</v>
      </c>
      <c r="H5" s="115">
        <f>SUM(D5:G5)</f>
        <v>353344431</v>
      </c>
      <c r="I5" s="115">
        <v>-353344430</v>
      </c>
      <c r="J5" s="114">
        <v>0</v>
      </c>
      <c r="K5" s="114">
        <v>0</v>
      </c>
      <c r="L5" s="115">
        <f>SUM(I5:K5)</f>
        <v>-353344430</v>
      </c>
      <c r="M5" s="114">
        <v>1</v>
      </c>
      <c r="N5" s="116">
        <v>1</v>
      </c>
      <c r="O5" s="208">
        <v>1800000000</v>
      </c>
      <c r="P5" s="208">
        <v>1482000000</v>
      </c>
      <c r="Q5" s="199">
        <v>318000000</v>
      </c>
    </row>
    <row r="6" spans="1:256" s="99" customFormat="1" ht="15" thickBot="1" x14ac:dyDescent="0.4">
      <c r="A6" s="107"/>
      <c r="N6" s="108"/>
      <c r="O6" s="193"/>
      <c r="P6" s="193"/>
      <c r="Q6" s="193"/>
    </row>
    <row r="7" spans="1:256" s="100" customFormat="1" ht="15.5" x14ac:dyDescent="0.35">
      <c r="A7" s="117">
        <v>2</v>
      </c>
      <c r="B7" s="118" t="s">
        <v>11</v>
      </c>
      <c r="C7" s="119"/>
      <c r="D7" s="119"/>
      <c r="E7" s="119"/>
      <c r="F7" s="119"/>
      <c r="G7" s="119"/>
      <c r="H7" s="119"/>
      <c r="I7" s="119"/>
      <c r="J7" s="119"/>
      <c r="K7" s="119"/>
      <c r="L7" s="119"/>
      <c r="M7" s="119"/>
      <c r="N7" s="120"/>
      <c r="O7" s="206"/>
      <c r="P7" s="206"/>
      <c r="Q7" s="207"/>
    </row>
    <row r="8" spans="1:256" s="99" customFormat="1" x14ac:dyDescent="0.35">
      <c r="A8" s="107">
        <v>10600047</v>
      </c>
      <c r="B8" s="99" t="s">
        <v>192</v>
      </c>
      <c r="C8" s="99" t="s">
        <v>193</v>
      </c>
      <c r="D8" s="101">
        <v>83407342.640000001</v>
      </c>
      <c r="E8" s="99">
        <v>0</v>
      </c>
      <c r="F8" s="99">
        <v>0</v>
      </c>
      <c r="G8" s="99">
        <v>0</v>
      </c>
      <c r="H8" s="101">
        <f>SUM(D8:G8)</f>
        <v>83407342.640000001</v>
      </c>
      <c r="I8" s="101">
        <v>-75343002</v>
      </c>
      <c r="J8" s="99">
        <v>0</v>
      </c>
      <c r="K8" s="101">
        <f>-8064339.64-1</f>
        <v>-8064340.6399999997</v>
      </c>
      <c r="L8" s="101">
        <f>SUM(I8:K8)</f>
        <v>-83407342.640000001</v>
      </c>
      <c r="M8" s="99">
        <v>1</v>
      </c>
      <c r="N8" s="109">
        <v>8064340.6399999997</v>
      </c>
      <c r="O8" s="193">
        <v>157797675</v>
      </c>
      <c r="P8" s="193">
        <v>19987806</v>
      </c>
      <c r="Q8" s="209">
        <v>137809970</v>
      </c>
    </row>
    <row r="9" spans="1:256" s="99" customFormat="1" x14ac:dyDescent="0.35">
      <c r="A9" s="107">
        <v>10600047</v>
      </c>
      <c r="B9" s="99" t="s">
        <v>192</v>
      </c>
      <c r="C9" s="99" t="s">
        <v>193</v>
      </c>
      <c r="D9" s="101">
        <v>8432315.4800000004</v>
      </c>
      <c r="E9" s="99">
        <v>0</v>
      </c>
      <c r="F9" s="99">
        <v>0</v>
      </c>
      <c r="G9" s="99">
        <v>0</v>
      </c>
      <c r="H9" s="101">
        <f>SUM(D9:G9)</f>
        <v>8432315.4800000004</v>
      </c>
      <c r="I9" s="101">
        <v>-7648227</v>
      </c>
      <c r="J9" s="99">
        <v>0</v>
      </c>
      <c r="K9" s="101">
        <v>-784087.48</v>
      </c>
      <c r="L9" s="101">
        <f>SUM(I9:K9)</f>
        <v>-8432314.4800000004</v>
      </c>
      <c r="M9" s="99">
        <v>1</v>
      </c>
      <c r="N9" s="109">
        <v>784088.48</v>
      </c>
      <c r="O9" s="193">
        <v>15953029</v>
      </c>
      <c r="P9" s="193">
        <v>2020717</v>
      </c>
      <c r="Q9" s="209">
        <v>13932312</v>
      </c>
    </row>
    <row r="10" spans="1:256" s="99" customFormat="1" ht="15" thickBot="1" x14ac:dyDescent="0.4">
      <c r="A10" s="113"/>
      <c r="B10" s="114"/>
      <c r="C10" s="114"/>
      <c r="D10" s="121">
        <f>SUM(D8:D9)</f>
        <v>91839658.120000005</v>
      </c>
      <c r="E10" s="121">
        <f t="shared" ref="E10:Q10" si="0">SUM(E8:E9)</f>
        <v>0</v>
      </c>
      <c r="F10" s="121">
        <f t="shared" si="0"/>
        <v>0</v>
      </c>
      <c r="G10" s="121">
        <f t="shared" si="0"/>
        <v>0</v>
      </c>
      <c r="H10" s="121">
        <f t="shared" si="0"/>
        <v>91839658.120000005</v>
      </c>
      <c r="I10" s="121">
        <f t="shared" si="0"/>
        <v>-82991229</v>
      </c>
      <c r="J10" s="121">
        <f t="shared" si="0"/>
        <v>0</v>
      </c>
      <c r="K10" s="121">
        <f t="shared" si="0"/>
        <v>-8848428.1199999992</v>
      </c>
      <c r="L10" s="121">
        <f t="shared" si="0"/>
        <v>-91839657.120000005</v>
      </c>
      <c r="M10" s="121">
        <f t="shared" si="0"/>
        <v>2</v>
      </c>
      <c r="N10" s="122">
        <f t="shared" si="0"/>
        <v>8848429.1199999992</v>
      </c>
      <c r="O10" s="121">
        <f t="shared" si="0"/>
        <v>173750704</v>
      </c>
      <c r="P10" s="121">
        <f t="shared" si="0"/>
        <v>22008523</v>
      </c>
      <c r="Q10" s="122">
        <f t="shared" si="0"/>
        <v>151742282</v>
      </c>
    </row>
    <row r="11" spans="1:256" s="99" customFormat="1" ht="15" thickBot="1" x14ac:dyDescent="0.4">
      <c r="A11" s="107"/>
      <c r="N11" s="108"/>
      <c r="O11" s="193"/>
      <c r="P11" s="193"/>
      <c r="Q11" s="193"/>
    </row>
    <row r="12" spans="1:256" s="100" customFormat="1" ht="15.5" x14ac:dyDescent="0.35">
      <c r="A12" s="117">
        <v>3</v>
      </c>
      <c r="B12" s="118" t="s">
        <v>13</v>
      </c>
      <c r="C12" s="119"/>
      <c r="D12" s="119"/>
      <c r="E12" s="119"/>
      <c r="F12" s="119"/>
      <c r="G12" s="119"/>
      <c r="H12" s="119"/>
      <c r="I12" s="119"/>
      <c r="J12" s="119"/>
      <c r="K12" s="119"/>
      <c r="L12" s="119"/>
      <c r="M12" s="119"/>
      <c r="N12" s="120"/>
      <c r="O12" s="206"/>
      <c r="P12" s="206"/>
      <c r="Q12" s="207"/>
    </row>
    <row r="13" spans="1:256" s="99" customFormat="1" x14ac:dyDescent="0.35">
      <c r="A13" s="107">
        <v>10600045</v>
      </c>
      <c r="B13" s="99" t="s">
        <v>194</v>
      </c>
      <c r="C13" s="99" t="s">
        <v>195</v>
      </c>
      <c r="D13" s="101">
        <v>17099807.629999999</v>
      </c>
      <c r="E13" s="99">
        <v>0</v>
      </c>
      <c r="F13" s="99">
        <v>0</v>
      </c>
      <c r="G13" s="99">
        <v>0</v>
      </c>
      <c r="H13" s="101">
        <v>17099807.629999999</v>
      </c>
      <c r="I13" s="101">
        <v>-17099806.629999999</v>
      </c>
      <c r="J13" s="99">
        <v>0</v>
      </c>
      <c r="K13" s="99">
        <v>0</v>
      </c>
      <c r="L13" s="101">
        <v>-17099806.629999999</v>
      </c>
      <c r="M13" s="99">
        <v>1</v>
      </c>
      <c r="N13" s="108">
        <v>1</v>
      </c>
      <c r="O13" s="193">
        <v>43926111</v>
      </c>
      <c r="P13" s="193">
        <v>8902359</v>
      </c>
      <c r="Q13" s="209">
        <v>35023753</v>
      </c>
    </row>
    <row r="14" spans="1:256" s="99" customFormat="1" x14ac:dyDescent="0.35">
      <c r="A14" s="107">
        <v>10600048</v>
      </c>
      <c r="B14" s="99" t="s">
        <v>196</v>
      </c>
      <c r="C14" s="99" t="s">
        <v>197</v>
      </c>
      <c r="D14" s="101">
        <v>25251924</v>
      </c>
      <c r="E14" s="99">
        <v>0</v>
      </c>
      <c r="F14" s="99">
        <v>0</v>
      </c>
      <c r="G14" s="99">
        <v>0</v>
      </c>
      <c r="H14" s="101">
        <v>25251924</v>
      </c>
      <c r="I14" s="101">
        <v>-10280354</v>
      </c>
      <c r="J14" s="99">
        <v>0</v>
      </c>
      <c r="K14" s="101">
        <v>-1683494</v>
      </c>
      <c r="L14" s="101">
        <v>-11963848</v>
      </c>
      <c r="M14" s="101">
        <v>13288076</v>
      </c>
      <c r="N14" s="109">
        <v>14971570</v>
      </c>
      <c r="O14" s="193">
        <v>35352694</v>
      </c>
      <c r="P14" s="193">
        <v>3134605</v>
      </c>
      <c r="Q14" s="209">
        <v>32218088</v>
      </c>
    </row>
    <row r="15" spans="1:256" s="99" customFormat="1" x14ac:dyDescent="0.35">
      <c r="A15" s="107">
        <v>10600053</v>
      </c>
      <c r="B15" s="99" t="s">
        <v>198</v>
      </c>
      <c r="C15" s="99" t="s">
        <v>199</v>
      </c>
      <c r="D15" s="101">
        <v>557733</v>
      </c>
      <c r="E15" s="99">
        <v>0</v>
      </c>
      <c r="F15" s="99">
        <v>0</v>
      </c>
      <c r="G15" s="99">
        <v>0</v>
      </c>
      <c r="H15" s="101">
        <v>557733</v>
      </c>
      <c r="I15" s="101">
        <v>-288689</v>
      </c>
      <c r="J15" s="99">
        <v>0</v>
      </c>
      <c r="K15" s="101">
        <v>-36807</v>
      </c>
      <c r="L15" s="101">
        <v>-325496</v>
      </c>
      <c r="M15" s="101">
        <v>232237</v>
      </c>
      <c r="N15" s="109">
        <v>269044</v>
      </c>
      <c r="O15" s="193">
        <v>935121</v>
      </c>
      <c r="P15" s="193">
        <v>106604</v>
      </c>
      <c r="Q15" s="209">
        <v>828517</v>
      </c>
    </row>
    <row r="16" spans="1:256" s="99" customFormat="1" x14ac:dyDescent="0.35">
      <c r="A16" s="107">
        <v>10600054</v>
      </c>
      <c r="B16" s="99" t="s">
        <v>200</v>
      </c>
      <c r="C16" s="99" t="s">
        <v>199</v>
      </c>
      <c r="D16" s="101">
        <v>557733</v>
      </c>
      <c r="E16" s="99">
        <v>0</v>
      </c>
      <c r="F16" s="99">
        <v>0</v>
      </c>
      <c r="G16" s="99">
        <v>0</v>
      </c>
      <c r="H16" s="101">
        <v>557733</v>
      </c>
      <c r="I16" s="101">
        <v>-288689</v>
      </c>
      <c r="J16" s="99">
        <v>0</v>
      </c>
      <c r="K16" s="101">
        <v>-36807</v>
      </c>
      <c r="L16" s="101">
        <v>-325496</v>
      </c>
      <c r="M16" s="101">
        <v>232237</v>
      </c>
      <c r="N16" s="109">
        <v>269044</v>
      </c>
      <c r="O16" s="193">
        <v>935121</v>
      </c>
      <c r="P16" s="193">
        <v>106604</v>
      </c>
      <c r="Q16" s="209">
        <v>828517</v>
      </c>
    </row>
    <row r="17" spans="1:19" s="100" customFormat="1" ht="15" thickBot="1" x14ac:dyDescent="0.4">
      <c r="A17" s="123"/>
      <c r="B17" s="124"/>
      <c r="C17" s="124"/>
      <c r="D17" s="121">
        <f>SUM(D13:D16)</f>
        <v>43467197.629999995</v>
      </c>
      <c r="E17" s="121">
        <f t="shared" ref="E17:Q17" si="1">SUM(E13:E16)</f>
        <v>0</v>
      </c>
      <c r="F17" s="121">
        <f t="shared" si="1"/>
        <v>0</v>
      </c>
      <c r="G17" s="121">
        <f t="shared" si="1"/>
        <v>0</v>
      </c>
      <c r="H17" s="121">
        <f t="shared" si="1"/>
        <v>43467197.629999995</v>
      </c>
      <c r="I17" s="121">
        <f t="shared" si="1"/>
        <v>-27957538.629999999</v>
      </c>
      <c r="J17" s="121">
        <f t="shared" si="1"/>
        <v>0</v>
      </c>
      <c r="K17" s="121">
        <f t="shared" si="1"/>
        <v>-1757108</v>
      </c>
      <c r="L17" s="121">
        <f t="shared" si="1"/>
        <v>-29714646.629999999</v>
      </c>
      <c r="M17" s="121">
        <f t="shared" si="1"/>
        <v>13752551</v>
      </c>
      <c r="N17" s="122">
        <f t="shared" si="1"/>
        <v>15509659</v>
      </c>
      <c r="O17" s="121">
        <f t="shared" si="1"/>
        <v>81149047</v>
      </c>
      <c r="P17" s="121">
        <f t="shared" si="1"/>
        <v>12250172</v>
      </c>
      <c r="Q17" s="122">
        <f t="shared" si="1"/>
        <v>68898875</v>
      </c>
    </row>
    <row r="18" spans="1:19" s="100" customFormat="1" ht="15" thickBot="1" x14ac:dyDescent="0.4">
      <c r="A18" s="111"/>
      <c r="D18" s="102"/>
      <c r="E18" s="102"/>
      <c r="F18" s="102"/>
      <c r="G18" s="102"/>
      <c r="H18" s="102"/>
      <c r="I18" s="102"/>
      <c r="J18" s="102"/>
      <c r="K18" s="102"/>
      <c r="L18" s="102"/>
      <c r="M18" s="102"/>
      <c r="N18" s="110"/>
      <c r="O18" s="194"/>
      <c r="P18" s="194"/>
      <c r="Q18" s="194"/>
    </row>
    <row r="19" spans="1:19" s="100" customFormat="1" ht="15.5" x14ac:dyDescent="0.35">
      <c r="A19" s="117">
        <v>4</v>
      </c>
      <c r="B19" s="118" t="s">
        <v>15</v>
      </c>
      <c r="C19" s="119"/>
      <c r="D19" s="119"/>
      <c r="E19" s="119"/>
      <c r="F19" s="119"/>
      <c r="G19" s="119"/>
      <c r="H19" s="119"/>
      <c r="I19" s="119"/>
      <c r="J19" s="119"/>
      <c r="K19" s="119"/>
      <c r="L19" s="119"/>
      <c r="M19" s="119"/>
      <c r="N19" s="120"/>
      <c r="O19" s="206"/>
      <c r="P19" s="206"/>
      <c r="Q19" s="207"/>
    </row>
    <row r="20" spans="1:19" s="99" customFormat="1" ht="15" thickBot="1" x14ac:dyDescent="0.4">
      <c r="A20" s="113">
        <v>10900067</v>
      </c>
      <c r="B20" s="114" t="s">
        <v>201</v>
      </c>
      <c r="C20" s="114" t="s">
        <v>202</v>
      </c>
      <c r="D20" s="115">
        <v>2827981.4</v>
      </c>
      <c r="E20" s="114">
        <v>0</v>
      </c>
      <c r="F20" s="114">
        <v>0</v>
      </c>
      <c r="G20" s="114">
        <v>0</v>
      </c>
      <c r="H20" s="115">
        <f>SUM(D20:G20)</f>
        <v>2827981.4</v>
      </c>
      <c r="I20" s="115">
        <v>-1114534</v>
      </c>
      <c r="J20" s="114">
        <v>0</v>
      </c>
      <c r="K20" s="115">
        <v>-141399</v>
      </c>
      <c r="L20" s="115">
        <f>SUM(I20:K20)</f>
        <v>-1255933</v>
      </c>
      <c r="M20" s="115">
        <v>1572048.4</v>
      </c>
      <c r="N20" s="125">
        <v>1713447.4</v>
      </c>
      <c r="O20" s="208">
        <v>3500000</v>
      </c>
      <c r="P20" s="208">
        <v>0</v>
      </c>
      <c r="Q20" s="199">
        <v>175000</v>
      </c>
    </row>
    <row r="21" spans="1:19" s="99" customFormat="1" ht="15" thickBot="1" x14ac:dyDescent="0.4">
      <c r="A21" s="107"/>
      <c r="N21" s="108"/>
      <c r="O21" s="193"/>
      <c r="P21" s="193"/>
      <c r="Q21" s="193"/>
    </row>
    <row r="22" spans="1:19" s="100" customFormat="1" ht="15.5" x14ac:dyDescent="0.35">
      <c r="A22" s="117">
        <v>6</v>
      </c>
      <c r="B22" s="118" t="s">
        <v>20</v>
      </c>
      <c r="C22" s="119"/>
      <c r="D22" s="119"/>
      <c r="E22" s="119"/>
      <c r="F22" s="119"/>
      <c r="G22" s="119"/>
      <c r="H22" s="119"/>
      <c r="I22" s="119"/>
      <c r="J22" s="119"/>
      <c r="K22" s="119"/>
      <c r="L22" s="119"/>
      <c r="M22" s="119"/>
      <c r="N22" s="120"/>
      <c r="O22" s="206"/>
      <c r="P22" s="206"/>
      <c r="Q22" s="207"/>
    </row>
    <row r="23" spans="1:19" s="99" customFormat="1" ht="15" thickBot="1" x14ac:dyDescent="0.4">
      <c r="A23" s="113">
        <v>10600049</v>
      </c>
      <c r="B23" s="114" t="s">
        <v>203</v>
      </c>
      <c r="C23" s="114" t="s">
        <v>204</v>
      </c>
      <c r="D23" s="115">
        <v>4202075</v>
      </c>
      <c r="E23" s="114">
        <v>0</v>
      </c>
      <c r="F23" s="114">
        <v>0</v>
      </c>
      <c r="G23" s="114">
        <v>0</v>
      </c>
      <c r="H23" s="115">
        <f>SUM(D23:G23)</f>
        <v>4202075</v>
      </c>
      <c r="I23" s="115">
        <v>-4044138</v>
      </c>
      <c r="J23" s="114">
        <v>0</v>
      </c>
      <c r="K23" s="115">
        <v>-157936</v>
      </c>
      <c r="L23" s="115">
        <f>SUM(I23:K23)</f>
        <v>-4202074</v>
      </c>
      <c r="M23" s="114">
        <v>1</v>
      </c>
      <c r="N23" s="125">
        <v>157937</v>
      </c>
      <c r="O23" s="208">
        <v>6394462</v>
      </c>
      <c r="P23" s="208">
        <v>647972</v>
      </c>
      <c r="Q23" s="199">
        <v>5746490</v>
      </c>
    </row>
    <row r="24" spans="1:19" s="99" customFormat="1" ht="15" thickBot="1" x14ac:dyDescent="0.4">
      <c r="A24" s="107"/>
      <c r="N24" s="108"/>
      <c r="O24" s="193"/>
      <c r="P24" s="193"/>
      <c r="Q24" s="193"/>
    </row>
    <row r="25" spans="1:19" s="100" customFormat="1" ht="15.5" x14ac:dyDescent="0.35">
      <c r="A25" s="117">
        <v>7</v>
      </c>
      <c r="B25" s="118" t="s">
        <v>22</v>
      </c>
      <c r="C25" s="119"/>
      <c r="D25" s="119"/>
      <c r="E25" s="119"/>
      <c r="F25" s="119"/>
      <c r="G25" s="119"/>
      <c r="H25" s="119"/>
      <c r="I25" s="119"/>
      <c r="J25" s="119"/>
      <c r="K25" s="119"/>
      <c r="L25" s="119"/>
      <c r="M25" s="119"/>
      <c r="N25" s="120"/>
      <c r="O25" s="206"/>
      <c r="P25" s="206"/>
      <c r="Q25" s="207"/>
    </row>
    <row r="26" spans="1:19" s="99" customFormat="1" ht="15" thickBot="1" x14ac:dyDescent="0.4">
      <c r="A26" s="113">
        <v>10300427</v>
      </c>
      <c r="B26" s="114" t="s">
        <v>205</v>
      </c>
      <c r="C26" s="114" t="s">
        <v>206</v>
      </c>
      <c r="D26" s="115">
        <v>35340810.340000004</v>
      </c>
      <c r="E26" s="114">
        <v>0</v>
      </c>
      <c r="F26" s="114">
        <v>0</v>
      </c>
      <c r="G26" s="114">
        <v>0</v>
      </c>
      <c r="H26" s="115">
        <f>SUM(D26:G26)</f>
        <v>35340810.340000004</v>
      </c>
      <c r="I26" s="115">
        <v>-14177635.18</v>
      </c>
      <c r="J26" s="114">
        <v>0</v>
      </c>
      <c r="K26" s="115">
        <v>-3533650</v>
      </c>
      <c r="L26" s="115">
        <f>SUM(I26:K26)</f>
        <v>-17711285.18</v>
      </c>
      <c r="M26" s="115">
        <v>17629525.16</v>
      </c>
      <c r="N26" s="125">
        <v>21163175.16</v>
      </c>
      <c r="O26" s="208">
        <v>41231000</v>
      </c>
      <c r="P26" s="208">
        <v>3916945</v>
      </c>
      <c r="Q26" s="199">
        <v>37314055</v>
      </c>
      <c r="S26" s="212"/>
    </row>
    <row r="27" spans="1:19" s="99" customFormat="1" ht="15" thickBot="1" x14ac:dyDescent="0.4">
      <c r="A27" s="107"/>
      <c r="N27" s="108"/>
      <c r="O27" s="193"/>
      <c r="P27" s="193"/>
      <c r="Q27" s="193"/>
    </row>
    <row r="28" spans="1:19" s="100" customFormat="1" ht="15.5" x14ac:dyDescent="0.35">
      <c r="A28" s="117">
        <v>8</v>
      </c>
      <c r="B28" s="126" t="s">
        <v>24</v>
      </c>
      <c r="C28" s="119"/>
      <c r="D28" s="119"/>
      <c r="E28" s="119"/>
      <c r="F28" s="119"/>
      <c r="G28" s="119"/>
      <c r="H28" s="119"/>
      <c r="I28" s="119"/>
      <c r="J28" s="119"/>
      <c r="K28" s="119"/>
      <c r="L28" s="119"/>
      <c r="M28" s="119"/>
      <c r="N28" s="120"/>
      <c r="O28" s="206"/>
      <c r="P28" s="206"/>
      <c r="Q28" s="207"/>
    </row>
    <row r="29" spans="1:19" s="99" customFormat="1" ht="15" thickBot="1" x14ac:dyDescent="0.4">
      <c r="A29" s="113">
        <v>11000184</v>
      </c>
      <c r="B29" s="114" t="s">
        <v>383</v>
      </c>
      <c r="C29" s="114" t="s">
        <v>384</v>
      </c>
      <c r="D29" s="115">
        <v>57945859.259999998</v>
      </c>
      <c r="E29" s="114">
        <v>0</v>
      </c>
      <c r="F29" s="114">
        <v>0</v>
      </c>
      <c r="G29" s="114">
        <v>0</v>
      </c>
      <c r="H29" s="115">
        <f>SUM(D29:G29)</f>
        <v>57945859.259999998</v>
      </c>
      <c r="I29" s="115">
        <f>-22479597+1</f>
        <v>-22479596</v>
      </c>
      <c r="J29" s="114">
        <v>0</v>
      </c>
      <c r="K29" s="115">
        <v>-2897311</v>
      </c>
      <c r="L29" s="115">
        <f>SUM(I29:K29)</f>
        <v>-25376907</v>
      </c>
      <c r="M29" s="115">
        <v>32568951.260000002</v>
      </c>
      <c r="N29" s="125">
        <v>35466262.259999998</v>
      </c>
      <c r="O29" s="208"/>
      <c r="P29" s="208"/>
      <c r="Q29" s="199"/>
    </row>
    <row r="30" spans="1:19" s="99" customFormat="1" x14ac:dyDescent="0.35">
      <c r="A30" s="107"/>
      <c r="N30" s="108"/>
      <c r="O30" s="193"/>
      <c r="P30" s="193"/>
      <c r="Q30" s="193"/>
    </row>
    <row r="31" spans="1:19" s="99" customFormat="1" ht="16" thickBot="1" x14ac:dyDescent="0.4">
      <c r="A31" s="112" t="s">
        <v>26</v>
      </c>
      <c r="N31" s="108"/>
      <c r="O31" s="193"/>
      <c r="P31" s="193"/>
      <c r="Q31" s="193"/>
    </row>
    <row r="32" spans="1:19" s="100" customFormat="1" ht="15.5" x14ac:dyDescent="0.35">
      <c r="A32" s="117">
        <v>9</v>
      </c>
      <c r="B32" s="118" t="s">
        <v>27</v>
      </c>
      <c r="C32" s="119"/>
      <c r="D32" s="119"/>
      <c r="E32" s="119"/>
      <c r="F32" s="119"/>
      <c r="G32" s="119"/>
      <c r="H32" s="119"/>
      <c r="I32" s="119"/>
      <c r="J32" s="119"/>
      <c r="K32" s="119"/>
      <c r="L32" s="119"/>
      <c r="M32" s="119"/>
      <c r="N32" s="120"/>
      <c r="O32" s="206"/>
      <c r="P32" s="206"/>
      <c r="Q32" s="207"/>
    </row>
    <row r="33" spans="1:17" s="99" customFormat="1" x14ac:dyDescent="0.35">
      <c r="A33" s="107">
        <v>10500025</v>
      </c>
      <c r="B33" s="99" t="s">
        <v>207</v>
      </c>
      <c r="C33" s="99" t="s">
        <v>208</v>
      </c>
      <c r="D33" s="101">
        <v>12251697</v>
      </c>
      <c r="E33" s="99">
        <v>0</v>
      </c>
      <c r="F33" s="99">
        <v>0</v>
      </c>
      <c r="G33" s="99">
        <v>0</v>
      </c>
      <c r="H33" s="101">
        <f>SUM(D33:G33)</f>
        <v>12251697</v>
      </c>
      <c r="I33" s="101">
        <v>-5639139</v>
      </c>
      <c r="J33" s="99">
        <v>0</v>
      </c>
      <c r="K33" s="101">
        <v>-612585</v>
      </c>
      <c r="L33" s="101">
        <f>SUM(I33:K33)</f>
        <v>-6251724</v>
      </c>
      <c r="M33" s="101">
        <v>5999973</v>
      </c>
      <c r="N33" s="109">
        <v>6612558</v>
      </c>
      <c r="O33" s="193">
        <v>6917197</v>
      </c>
      <c r="P33" s="193">
        <v>2190446</v>
      </c>
      <c r="Q33" s="209">
        <v>4726751</v>
      </c>
    </row>
    <row r="34" spans="1:17" s="99" customFormat="1" x14ac:dyDescent="0.35">
      <c r="A34" s="107">
        <v>10500025</v>
      </c>
      <c r="B34" s="99" t="s">
        <v>207</v>
      </c>
      <c r="C34" s="99" t="s">
        <v>208</v>
      </c>
      <c r="D34" s="101">
        <v>2850</v>
      </c>
      <c r="E34" s="99">
        <v>0</v>
      </c>
      <c r="F34" s="99">
        <v>0</v>
      </c>
      <c r="G34" s="99">
        <v>0</v>
      </c>
      <c r="H34" s="101">
        <f>SUM(D34:G34)</f>
        <v>2850</v>
      </c>
      <c r="I34" s="101">
        <v>-1225</v>
      </c>
      <c r="J34" s="99">
        <v>0</v>
      </c>
      <c r="K34" s="99">
        <v>-150</v>
      </c>
      <c r="L34" s="101">
        <f>SUM(I34:K34)</f>
        <v>-1375</v>
      </c>
      <c r="M34" s="101">
        <v>1475</v>
      </c>
      <c r="N34" s="109">
        <v>1625</v>
      </c>
      <c r="O34" s="193">
        <v>6917197</v>
      </c>
      <c r="P34" s="193">
        <v>2190446</v>
      </c>
      <c r="Q34" s="209">
        <v>4726751</v>
      </c>
    </row>
    <row r="35" spans="1:17" s="99" customFormat="1" ht="15" thickBot="1" x14ac:dyDescent="0.4">
      <c r="A35" s="113"/>
      <c r="B35" s="114"/>
      <c r="C35" s="114"/>
      <c r="D35" s="121">
        <f>SUM(D33:D34)</f>
        <v>12254547</v>
      </c>
      <c r="E35" s="121">
        <f t="shared" ref="E35:Q35" si="2">SUM(E33:E34)</f>
        <v>0</v>
      </c>
      <c r="F35" s="121">
        <f t="shared" si="2"/>
        <v>0</v>
      </c>
      <c r="G35" s="121">
        <f t="shared" si="2"/>
        <v>0</v>
      </c>
      <c r="H35" s="121">
        <f t="shared" si="2"/>
        <v>12254547</v>
      </c>
      <c r="I35" s="121">
        <f t="shared" si="2"/>
        <v>-5640364</v>
      </c>
      <c r="J35" s="121">
        <f t="shared" si="2"/>
        <v>0</v>
      </c>
      <c r="K35" s="121">
        <f t="shared" si="2"/>
        <v>-612735</v>
      </c>
      <c r="L35" s="121">
        <f t="shared" si="2"/>
        <v>-6253099</v>
      </c>
      <c r="M35" s="121">
        <f t="shared" si="2"/>
        <v>6001448</v>
      </c>
      <c r="N35" s="122">
        <f t="shared" si="2"/>
        <v>6614183</v>
      </c>
      <c r="O35" s="121">
        <f t="shared" si="2"/>
        <v>13834394</v>
      </c>
      <c r="P35" s="121">
        <f t="shared" si="2"/>
        <v>4380892</v>
      </c>
      <c r="Q35" s="122">
        <f t="shared" si="2"/>
        <v>9453502</v>
      </c>
    </row>
    <row r="36" spans="1:17" s="99" customFormat="1" ht="15" thickBot="1" x14ac:dyDescent="0.4">
      <c r="A36" s="107"/>
      <c r="N36" s="108"/>
      <c r="O36" s="193"/>
      <c r="P36" s="193"/>
      <c r="Q36" s="193"/>
    </row>
    <row r="37" spans="1:17" s="100" customFormat="1" ht="15.5" x14ac:dyDescent="0.35">
      <c r="A37" s="117">
        <v>10</v>
      </c>
      <c r="B37" s="118" t="s">
        <v>28</v>
      </c>
      <c r="C37" s="119"/>
      <c r="D37" s="119"/>
      <c r="E37" s="119"/>
      <c r="F37" s="119"/>
      <c r="G37" s="119"/>
      <c r="H37" s="119"/>
      <c r="I37" s="119"/>
      <c r="J37" s="119"/>
      <c r="K37" s="119"/>
      <c r="L37" s="119"/>
      <c r="M37" s="119"/>
      <c r="N37" s="120"/>
      <c r="O37" s="206"/>
      <c r="P37" s="206"/>
      <c r="Q37" s="207"/>
    </row>
    <row r="38" spans="1:17" s="99" customFormat="1" ht="15" thickBot="1" x14ac:dyDescent="0.4">
      <c r="A38" s="113">
        <v>10500026</v>
      </c>
      <c r="B38" s="114" t="s">
        <v>209</v>
      </c>
      <c r="C38" s="114" t="s">
        <v>208</v>
      </c>
      <c r="D38" s="115">
        <v>2577417</v>
      </c>
      <c r="E38" s="114">
        <v>0</v>
      </c>
      <c r="F38" s="114">
        <v>0</v>
      </c>
      <c r="G38" s="114">
        <v>0</v>
      </c>
      <c r="H38" s="115">
        <f>SUM(D38:G38)</f>
        <v>2577417</v>
      </c>
      <c r="I38" s="115">
        <v>-1186257</v>
      </c>
      <c r="J38" s="114">
        <v>0</v>
      </c>
      <c r="K38" s="115">
        <v>-128877</v>
      </c>
      <c r="L38" s="115">
        <f>SUM(I38:K38)</f>
        <v>-1315134</v>
      </c>
      <c r="M38" s="115">
        <v>1262283</v>
      </c>
      <c r="N38" s="125">
        <v>1391160</v>
      </c>
      <c r="O38" s="208">
        <v>2900000</v>
      </c>
      <c r="P38" s="208">
        <v>918333</v>
      </c>
      <c r="Q38" s="199">
        <v>1981667</v>
      </c>
    </row>
    <row r="39" spans="1:17" s="99" customFormat="1" ht="15" thickBot="1" x14ac:dyDescent="0.4">
      <c r="A39" s="107"/>
      <c r="N39" s="108"/>
      <c r="O39" s="193"/>
      <c r="P39" s="193"/>
      <c r="Q39" s="193"/>
    </row>
    <row r="40" spans="1:17" s="100" customFormat="1" ht="15.5" x14ac:dyDescent="0.35">
      <c r="A40" s="117">
        <v>11</v>
      </c>
      <c r="B40" s="118" t="s">
        <v>30</v>
      </c>
      <c r="C40" s="119"/>
      <c r="D40" s="119"/>
      <c r="E40" s="119"/>
      <c r="F40" s="119"/>
      <c r="G40" s="119"/>
      <c r="H40" s="119"/>
      <c r="I40" s="119"/>
      <c r="J40" s="119"/>
      <c r="K40" s="119"/>
      <c r="L40" s="119"/>
      <c r="M40" s="119"/>
      <c r="N40" s="120"/>
      <c r="O40" s="206"/>
      <c r="P40" s="206"/>
      <c r="Q40" s="207"/>
    </row>
    <row r="41" spans="1:17" s="99" customFormat="1" ht="15" thickBot="1" x14ac:dyDescent="0.4">
      <c r="A41" s="113">
        <v>10500027</v>
      </c>
      <c r="B41" s="114" t="s">
        <v>210</v>
      </c>
      <c r="C41" s="114" t="s">
        <v>211</v>
      </c>
      <c r="D41" s="115">
        <v>405113094</v>
      </c>
      <c r="E41" s="114">
        <v>0</v>
      </c>
      <c r="F41" s="114">
        <v>0</v>
      </c>
      <c r="G41" s="114">
        <v>0</v>
      </c>
      <c r="H41" s="115">
        <f>SUM(D41:G41)</f>
        <v>405113094</v>
      </c>
      <c r="I41" s="115">
        <v>-179461657</v>
      </c>
      <c r="J41" s="114">
        <v>0</v>
      </c>
      <c r="K41" s="115">
        <v>-20256462</v>
      </c>
      <c r="L41" s="115">
        <f>SUM(I41:K41)</f>
        <v>-199718119</v>
      </c>
      <c r="M41" s="115">
        <v>205394975</v>
      </c>
      <c r="N41" s="125">
        <v>225651437</v>
      </c>
      <c r="O41" s="208">
        <v>450000000</v>
      </c>
      <c r="P41" s="208">
        <v>128250000</v>
      </c>
      <c r="Q41" s="199">
        <v>321750000</v>
      </c>
    </row>
    <row r="42" spans="1:17" s="99" customFormat="1" ht="15" thickBot="1" x14ac:dyDescent="0.4">
      <c r="A42" s="107"/>
      <c r="N42" s="108"/>
      <c r="O42" s="193"/>
      <c r="P42" s="193"/>
      <c r="Q42" s="193"/>
    </row>
    <row r="43" spans="1:17" s="100" customFormat="1" ht="15.5" x14ac:dyDescent="0.35">
      <c r="A43" s="117">
        <v>12</v>
      </c>
      <c r="B43" s="118" t="s">
        <v>32</v>
      </c>
      <c r="C43" s="119"/>
      <c r="D43" s="119"/>
      <c r="E43" s="119"/>
      <c r="F43" s="119"/>
      <c r="G43" s="119"/>
      <c r="H43" s="119"/>
      <c r="I43" s="119"/>
      <c r="J43" s="119"/>
      <c r="K43" s="119"/>
      <c r="L43" s="119"/>
      <c r="M43" s="119"/>
      <c r="N43" s="120"/>
      <c r="O43" s="206"/>
      <c r="P43" s="206"/>
      <c r="Q43" s="207"/>
    </row>
    <row r="44" spans="1:17" s="99" customFormat="1" ht="15" thickBot="1" x14ac:dyDescent="0.4">
      <c r="A44" s="113">
        <v>10500028</v>
      </c>
      <c r="B44" s="114" t="s">
        <v>212</v>
      </c>
      <c r="C44" s="114" t="s">
        <v>211</v>
      </c>
      <c r="D44" s="115">
        <v>405113094.41000003</v>
      </c>
      <c r="E44" s="114">
        <v>0</v>
      </c>
      <c r="F44" s="114">
        <v>0</v>
      </c>
      <c r="G44" s="114">
        <v>0</v>
      </c>
      <c r="H44" s="115">
        <f>SUM(D44:G44)</f>
        <v>405113094.41000003</v>
      </c>
      <c r="I44" s="115">
        <v>-174083349</v>
      </c>
      <c r="J44" s="114">
        <v>0</v>
      </c>
      <c r="K44" s="115">
        <v>-20256031</v>
      </c>
      <c r="L44" s="115">
        <f>SUM(I44:K44)</f>
        <v>-194339380</v>
      </c>
      <c r="M44" s="115">
        <v>210773714</v>
      </c>
      <c r="N44" s="125">
        <v>231029745</v>
      </c>
      <c r="O44" s="208">
        <v>450000000</v>
      </c>
      <c r="P44" s="208">
        <v>128250000</v>
      </c>
      <c r="Q44" s="199">
        <v>321750000</v>
      </c>
    </row>
    <row r="45" spans="1:17" s="99" customFormat="1" ht="15" thickBot="1" x14ac:dyDescent="0.4">
      <c r="A45" s="107"/>
      <c r="N45" s="108"/>
      <c r="O45" s="193"/>
      <c r="P45" s="193"/>
      <c r="Q45" s="193"/>
    </row>
    <row r="46" spans="1:17" s="100" customFormat="1" ht="15.5" x14ac:dyDescent="0.35">
      <c r="A46" s="117">
        <v>13</v>
      </c>
      <c r="B46" s="118" t="s">
        <v>33</v>
      </c>
      <c r="C46" s="119"/>
      <c r="D46" s="119"/>
      <c r="E46" s="119"/>
      <c r="F46" s="119"/>
      <c r="G46" s="119"/>
      <c r="H46" s="119"/>
      <c r="I46" s="119"/>
      <c r="J46" s="119"/>
      <c r="K46" s="119"/>
      <c r="L46" s="119"/>
      <c r="M46" s="119"/>
      <c r="N46" s="120"/>
      <c r="O46" s="206"/>
      <c r="P46" s="206"/>
      <c r="Q46" s="207"/>
    </row>
    <row r="47" spans="1:17" s="99" customFormat="1" ht="15" thickBot="1" x14ac:dyDescent="0.4">
      <c r="A47" s="113">
        <v>10500022</v>
      </c>
      <c r="B47" s="114" t="s">
        <v>213</v>
      </c>
      <c r="C47" s="114" t="s">
        <v>214</v>
      </c>
      <c r="D47" s="115">
        <v>146364554</v>
      </c>
      <c r="E47" s="114">
        <v>0</v>
      </c>
      <c r="F47" s="114">
        <v>0</v>
      </c>
      <c r="G47" s="114">
        <v>0</v>
      </c>
      <c r="H47" s="115">
        <f>SUM(D47:G47)</f>
        <v>146364554</v>
      </c>
      <c r="I47" s="115">
        <v>-146364553</v>
      </c>
      <c r="J47" s="114">
        <v>0</v>
      </c>
      <c r="K47" s="114">
        <v>0</v>
      </c>
      <c r="L47" s="115">
        <f>SUM(I47:K47)</f>
        <v>-146364553</v>
      </c>
      <c r="M47" s="114">
        <v>1</v>
      </c>
      <c r="N47" s="116">
        <v>1</v>
      </c>
      <c r="O47" s="208">
        <v>20000000</v>
      </c>
      <c r="P47" s="208">
        <v>13300000</v>
      </c>
      <c r="Q47" s="199">
        <v>6700000</v>
      </c>
    </row>
    <row r="48" spans="1:17" s="99" customFormat="1" x14ac:dyDescent="0.35">
      <c r="O48" s="193"/>
      <c r="P48" s="193"/>
      <c r="Q48" s="193"/>
    </row>
    <row r="49" spans="1:256" s="99" customFormat="1" x14ac:dyDescent="0.35">
      <c r="O49" s="193"/>
      <c r="P49" s="193"/>
      <c r="Q49" s="193"/>
    </row>
    <row r="50" spans="1:256" s="99" customFormat="1" ht="19.5" x14ac:dyDescent="0.35">
      <c r="A50" s="671" t="s">
        <v>34</v>
      </c>
      <c r="B50" s="671"/>
      <c r="O50" s="193"/>
      <c r="P50" s="193"/>
      <c r="Q50" s="193"/>
    </row>
    <row r="51" spans="1:256" s="99" customFormat="1" ht="16" thickBot="1" x14ac:dyDescent="0.4">
      <c r="A51" s="112" t="s">
        <v>35</v>
      </c>
      <c r="B51" s="92"/>
      <c r="N51" s="108"/>
      <c r="O51" s="193"/>
      <c r="P51" s="193"/>
      <c r="Q51" s="193"/>
    </row>
    <row r="52" spans="1:256" s="100" customFormat="1" ht="15.5" x14ac:dyDescent="0.35">
      <c r="A52" s="117">
        <v>1</v>
      </c>
      <c r="B52" s="118" t="s">
        <v>36</v>
      </c>
      <c r="C52" s="119"/>
      <c r="D52" s="119"/>
      <c r="E52" s="119"/>
      <c r="F52" s="119"/>
      <c r="G52" s="119"/>
      <c r="H52" s="119"/>
      <c r="I52" s="119"/>
      <c r="J52" s="119"/>
      <c r="K52" s="119"/>
      <c r="L52" s="119"/>
      <c r="M52" s="119"/>
      <c r="N52" s="120"/>
      <c r="O52" s="206"/>
      <c r="P52" s="206"/>
      <c r="Q52" s="207"/>
    </row>
    <row r="53" spans="1:256" s="99" customFormat="1" x14ac:dyDescent="0.35">
      <c r="A53" s="107">
        <v>10400061</v>
      </c>
      <c r="B53" s="99" t="s">
        <v>215</v>
      </c>
      <c r="C53" s="99" t="s">
        <v>216</v>
      </c>
      <c r="D53" s="101">
        <v>82479426</v>
      </c>
      <c r="E53" s="99">
        <v>0</v>
      </c>
      <c r="F53" s="99">
        <v>0</v>
      </c>
      <c r="G53" s="99">
        <v>0</v>
      </c>
      <c r="H53" s="101">
        <f>SUM(D53:G53)</f>
        <v>82479426</v>
      </c>
      <c r="I53" s="101">
        <v>-34409911</v>
      </c>
      <c r="J53" s="99">
        <v>0</v>
      </c>
      <c r="K53" s="101">
        <v>-1117896</v>
      </c>
      <c r="L53" s="101">
        <f>SUM(I53:K53)</f>
        <v>-35527807</v>
      </c>
      <c r="M53" s="101">
        <v>46951619</v>
      </c>
      <c r="N53" s="109">
        <v>48069515</v>
      </c>
      <c r="O53" s="193">
        <v>692238040</v>
      </c>
      <c r="P53" s="193">
        <v>542541564</v>
      </c>
      <c r="Q53" s="209">
        <v>149696476</v>
      </c>
    </row>
    <row r="54" spans="1:256" s="99" customFormat="1" x14ac:dyDescent="0.35">
      <c r="A54" s="107">
        <v>10400165</v>
      </c>
      <c r="B54" s="99" t="s">
        <v>217</v>
      </c>
      <c r="C54" s="99" t="s">
        <v>218</v>
      </c>
      <c r="D54" s="101">
        <v>14210891.300000001</v>
      </c>
      <c r="E54" s="99">
        <v>0</v>
      </c>
      <c r="F54" s="99">
        <v>0</v>
      </c>
      <c r="G54" s="99">
        <v>0</v>
      </c>
      <c r="H54" s="101">
        <f>SUM(D54:G54)</f>
        <v>14210891.300000001</v>
      </c>
      <c r="I54" s="101">
        <v>-8658768</v>
      </c>
      <c r="J54" s="99">
        <v>0</v>
      </c>
      <c r="K54" s="101">
        <v>-1421126</v>
      </c>
      <c r="L54" s="101">
        <f>SUM(I54:K54)</f>
        <v>-10079894</v>
      </c>
      <c r="M54" s="101">
        <v>4130997.3</v>
      </c>
      <c r="N54" s="109">
        <v>5552123.2999999998</v>
      </c>
      <c r="O54" s="193">
        <v>21625269</v>
      </c>
      <c r="P54" s="193">
        <v>3595201</v>
      </c>
      <c r="Q54" s="209">
        <v>18030068</v>
      </c>
    </row>
    <row r="55" spans="1:256" s="99" customFormat="1" x14ac:dyDescent="0.35">
      <c r="A55" s="107">
        <v>10400166</v>
      </c>
      <c r="B55" s="99" t="s">
        <v>219</v>
      </c>
      <c r="C55" s="99" t="s">
        <v>220</v>
      </c>
      <c r="D55" s="101">
        <v>13103843.77</v>
      </c>
      <c r="E55" s="99">
        <v>0</v>
      </c>
      <c r="F55" s="99">
        <v>0</v>
      </c>
      <c r="G55" s="99">
        <v>0</v>
      </c>
      <c r="H55" s="101">
        <f>SUM(D55:G55)</f>
        <v>13103843.77</v>
      </c>
      <c r="I55" s="101">
        <v>-8959839</v>
      </c>
      <c r="J55" s="99">
        <v>0</v>
      </c>
      <c r="K55" s="101">
        <v>-1310712</v>
      </c>
      <c r="L55" s="101">
        <f>SUM(I55:K55)</f>
        <v>-10270551</v>
      </c>
      <c r="M55" s="101">
        <v>2833292.77</v>
      </c>
      <c r="N55" s="109">
        <v>4144004.77</v>
      </c>
      <c r="O55" s="193">
        <v>21970517</v>
      </c>
      <c r="P55" s="193">
        <v>4174398</v>
      </c>
      <c r="Q55" s="209">
        <v>17796118</v>
      </c>
    </row>
    <row r="56" spans="1:256" s="99" customFormat="1" x14ac:dyDescent="0.35">
      <c r="A56" s="107">
        <v>10400166</v>
      </c>
      <c r="B56" s="99" t="s">
        <v>219</v>
      </c>
      <c r="C56" s="99" t="s">
        <v>221</v>
      </c>
      <c r="D56" s="101">
        <v>315000</v>
      </c>
      <c r="E56" s="99">
        <v>0</v>
      </c>
      <c r="F56" s="99">
        <v>0</v>
      </c>
      <c r="G56" s="99">
        <v>0</v>
      </c>
      <c r="H56" s="101">
        <f>SUM(D56:G56)</f>
        <v>315000</v>
      </c>
      <c r="I56" s="101">
        <v>-145215</v>
      </c>
      <c r="J56" s="99">
        <v>0</v>
      </c>
      <c r="K56" s="101">
        <v>-40215</v>
      </c>
      <c r="L56" s="101">
        <f>SUM(I56:K56)</f>
        <v>-185430</v>
      </c>
      <c r="M56" s="101">
        <v>129570</v>
      </c>
      <c r="N56" s="109">
        <v>169785</v>
      </c>
      <c r="O56" s="193">
        <v>400909</v>
      </c>
      <c r="P56" s="193">
        <v>47608</v>
      </c>
      <c r="Q56" s="209">
        <v>353301</v>
      </c>
    </row>
    <row r="57" spans="1:256" s="99" customFormat="1" ht="15" thickBot="1" x14ac:dyDescent="0.4">
      <c r="A57" s="113"/>
      <c r="B57" s="114"/>
      <c r="C57" s="114"/>
      <c r="D57" s="121">
        <f>SUM(D53:D56)</f>
        <v>110109161.06999999</v>
      </c>
      <c r="E57" s="121">
        <f t="shared" ref="E57:Q57" si="3">SUM(E53:E56)</f>
        <v>0</v>
      </c>
      <c r="F57" s="121">
        <f t="shared" si="3"/>
        <v>0</v>
      </c>
      <c r="G57" s="121">
        <f t="shared" si="3"/>
        <v>0</v>
      </c>
      <c r="H57" s="121">
        <f t="shared" si="3"/>
        <v>110109161.06999999</v>
      </c>
      <c r="I57" s="121">
        <f t="shared" si="3"/>
        <v>-52173733</v>
      </c>
      <c r="J57" s="121">
        <f t="shared" si="3"/>
        <v>0</v>
      </c>
      <c r="K57" s="121">
        <f t="shared" si="3"/>
        <v>-3889949</v>
      </c>
      <c r="L57" s="121">
        <f t="shared" si="3"/>
        <v>-56063682</v>
      </c>
      <c r="M57" s="121">
        <f t="shared" si="3"/>
        <v>54045479.07</v>
      </c>
      <c r="N57" s="122">
        <f t="shared" si="3"/>
        <v>57935428.07</v>
      </c>
      <c r="O57" s="121">
        <f t="shared" si="3"/>
        <v>736234735</v>
      </c>
      <c r="P57" s="121">
        <f t="shared" si="3"/>
        <v>550358771</v>
      </c>
      <c r="Q57" s="122">
        <f t="shared" si="3"/>
        <v>185875963</v>
      </c>
    </row>
    <row r="58" spans="1:256" s="99" customFormat="1" x14ac:dyDescent="0.35">
      <c r="D58" s="102"/>
      <c r="E58" s="102"/>
      <c r="F58" s="102"/>
      <c r="G58" s="102"/>
      <c r="H58" s="102"/>
      <c r="I58" s="102"/>
      <c r="J58" s="102"/>
      <c r="K58" s="102"/>
      <c r="L58" s="102"/>
      <c r="M58" s="102"/>
      <c r="N58" s="102"/>
      <c r="O58" s="193"/>
      <c r="P58" s="193"/>
      <c r="Q58" s="193"/>
    </row>
    <row r="59" spans="1:256" s="99" customFormat="1" x14ac:dyDescent="0.35">
      <c r="D59" s="102"/>
      <c r="E59" s="102"/>
      <c r="F59" s="102"/>
      <c r="G59" s="102"/>
      <c r="H59" s="102"/>
      <c r="I59" s="102"/>
      <c r="J59" s="102"/>
      <c r="K59" s="102"/>
      <c r="L59" s="102"/>
      <c r="M59" s="102"/>
      <c r="N59" s="102"/>
      <c r="O59" s="193"/>
      <c r="P59" s="193"/>
      <c r="Q59" s="193"/>
    </row>
    <row r="60" spans="1:256" s="99" customFormat="1" ht="19.5" x14ac:dyDescent="0.35">
      <c r="A60" s="676" t="s">
        <v>38</v>
      </c>
      <c r="B60" s="676"/>
      <c r="O60" s="193"/>
      <c r="P60" s="193"/>
      <c r="Q60" s="193"/>
    </row>
    <row r="61" spans="1:256" s="99" customFormat="1" ht="15.5" x14ac:dyDescent="0.35">
      <c r="A61" s="251" t="s">
        <v>39</v>
      </c>
      <c r="B61" s="98"/>
      <c r="O61" s="193"/>
      <c r="P61" s="193"/>
      <c r="Q61" s="193"/>
    </row>
    <row r="62" spans="1:256" s="99" customFormat="1" ht="16" thickBot="1" x14ac:dyDescent="0.4">
      <c r="A62" s="251" t="s">
        <v>40</v>
      </c>
      <c r="B62" s="163"/>
      <c r="O62" s="193"/>
      <c r="P62" s="193"/>
      <c r="Q62" s="193"/>
    </row>
    <row r="63" spans="1:256" s="100" customFormat="1" ht="31" x14ac:dyDescent="0.35">
      <c r="A63" s="152">
        <v>1</v>
      </c>
      <c r="B63" s="164" t="s">
        <v>281</v>
      </c>
      <c r="C63" s="119"/>
      <c r="D63" s="119"/>
      <c r="E63" s="119"/>
      <c r="F63" s="119"/>
      <c r="G63" s="119"/>
      <c r="H63" s="119"/>
      <c r="I63" s="119"/>
      <c r="J63" s="119"/>
      <c r="K63" s="119"/>
      <c r="L63" s="119"/>
      <c r="M63" s="119"/>
      <c r="N63" s="120"/>
      <c r="O63" s="206"/>
      <c r="P63" s="206"/>
      <c r="Q63" s="207"/>
    </row>
    <row r="64" spans="1:256" s="99" customFormat="1" x14ac:dyDescent="0.35">
      <c r="A64" s="154">
        <v>10300035</v>
      </c>
      <c r="B64" s="90" t="s">
        <v>278</v>
      </c>
      <c r="C64" s="90" t="s">
        <v>279</v>
      </c>
      <c r="D64" s="91">
        <v>738266</v>
      </c>
      <c r="E64" s="90">
        <v>0</v>
      </c>
      <c r="F64" s="90">
        <v>0</v>
      </c>
      <c r="G64" s="90">
        <v>0</v>
      </c>
      <c r="H64" s="91">
        <v>738266</v>
      </c>
      <c r="I64" s="91">
        <v>-738265</v>
      </c>
      <c r="J64" s="90">
        <v>0</v>
      </c>
      <c r="K64" s="90">
        <v>0</v>
      </c>
      <c r="L64" s="91">
        <v>-738265</v>
      </c>
      <c r="M64" s="90">
        <v>1</v>
      </c>
      <c r="N64" s="165">
        <v>1</v>
      </c>
      <c r="O64" s="72">
        <v>37000</v>
      </c>
      <c r="P64" s="72">
        <v>0</v>
      </c>
      <c r="Q64" s="198">
        <v>37000</v>
      </c>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row>
    <row r="65" spans="1:256" s="99" customFormat="1" x14ac:dyDescent="0.35">
      <c r="A65" s="154">
        <v>10300037</v>
      </c>
      <c r="B65" s="90" t="s">
        <v>280</v>
      </c>
      <c r="C65" s="90" t="s">
        <v>279</v>
      </c>
      <c r="D65" s="91">
        <v>174842</v>
      </c>
      <c r="E65" s="90">
        <v>0</v>
      </c>
      <c r="F65" s="90">
        <v>0</v>
      </c>
      <c r="G65" s="90">
        <v>0</v>
      </c>
      <c r="H65" s="91">
        <v>174842</v>
      </c>
      <c r="I65" s="91">
        <v>-174841</v>
      </c>
      <c r="J65" s="90">
        <v>0</v>
      </c>
      <c r="K65" s="90">
        <v>0</v>
      </c>
      <c r="L65" s="91">
        <v>-174841</v>
      </c>
      <c r="M65" s="90">
        <v>1</v>
      </c>
      <c r="N65" s="165">
        <v>1</v>
      </c>
      <c r="O65" s="72">
        <v>9000</v>
      </c>
      <c r="P65" s="72">
        <v>0</v>
      </c>
      <c r="Q65" s="198">
        <v>9000</v>
      </c>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row>
    <row r="66" spans="1:256" s="99" customFormat="1" x14ac:dyDescent="0.35">
      <c r="A66" s="154">
        <v>10300038</v>
      </c>
      <c r="B66" s="90" t="s">
        <v>280</v>
      </c>
      <c r="C66" s="90" t="s">
        <v>279</v>
      </c>
      <c r="D66" s="91">
        <v>285498</v>
      </c>
      <c r="E66" s="90">
        <v>0</v>
      </c>
      <c r="F66" s="90">
        <v>0</v>
      </c>
      <c r="G66" s="90">
        <v>0</v>
      </c>
      <c r="H66" s="91">
        <v>285498</v>
      </c>
      <c r="I66" s="91">
        <v>-285497</v>
      </c>
      <c r="J66" s="90">
        <v>0</v>
      </c>
      <c r="K66" s="90">
        <v>0</v>
      </c>
      <c r="L66" s="91">
        <v>-285497</v>
      </c>
      <c r="M66" s="90">
        <v>1</v>
      </c>
      <c r="N66" s="165">
        <v>1</v>
      </c>
      <c r="O66" s="72">
        <v>14000</v>
      </c>
      <c r="P66" s="72">
        <v>0</v>
      </c>
      <c r="Q66" s="198">
        <v>14000</v>
      </c>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row>
    <row r="67" spans="1:256" s="100" customFormat="1" ht="20" thickBot="1" x14ac:dyDescent="0.4">
      <c r="A67" s="166"/>
      <c r="B67" s="124"/>
      <c r="C67" s="124"/>
      <c r="D67" s="121">
        <f>SUM(D64:D66)</f>
        <v>1198606</v>
      </c>
      <c r="E67" s="121">
        <f t="shared" ref="E67:Q67" si="4">SUM(E64:E66)</f>
        <v>0</v>
      </c>
      <c r="F67" s="121">
        <f t="shared" si="4"/>
        <v>0</v>
      </c>
      <c r="G67" s="121">
        <f t="shared" si="4"/>
        <v>0</v>
      </c>
      <c r="H67" s="121">
        <f t="shared" si="4"/>
        <v>1198606</v>
      </c>
      <c r="I67" s="121">
        <f t="shared" si="4"/>
        <v>-1198603</v>
      </c>
      <c r="J67" s="121">
        <f t="shared" si="4"/>
        <v>0</v>
      </c>
      <c r="K67" s="121">
        <f t="shared" si="4"/>
        <v>0</v>
      </c>
      <c r="L67" s="121">
        <f t="shared" si="4"/>
        <v>-1198603</v>
      </c>
      <c r="M67" s="121">
        <f t="shared" si="4"/>
        <v>3</v>
      </c>
      <c r="N67" s="122">
        <f t="shared" si="4"/>
        <v>3</v>
      </c>
      <c r="O67" s="121">
        <f t="shared" si="4"/>
        <v>60000</v>
      </c>
      <c r="P67" s="121">
        <f t="shared" si="4"/>
        <v>0</v>
      </c>
      <c r="Q67" s="122">
        <f t="shared" si="4"/>
        <v>60000</v>
      </c>
    </row>
    <row r="68" spans="1:256" s="99" customFormat="1" ht="20" thickBot="1" x14ac:dyDescent="0.4">
      <c r="A68" s="97"/>
      <c r="O68" s="193"/>
      <c r="P68" s="193"/>
      <c r="Q68" s="193"/>
    </row>
    <row r="69" spans="1:256" s="99" customFormat="1" ht="31" x14ac:dyDescent="0.35">
      <c r="A69" s="152">
        <v>2</v>
      </c>
      <c r="B69" s="164" t="s">
        <v>295</v>
      </c>
      <c r="C69" s="103"/>
      <c r="D69" s="103"/>
      <c r="E69" s="103"/>
      <c r="F69" s="103"/>
      <c r="G69" s="103"/>
      <c r="H69" s="103"/>
      <c r="I69" s="103"/>
      <c r="J69" s="103"/>
      <c r="K69" s="103"/>
      <c r="L69" s="103"/>
      <c r="M69" s="103"/>
      <c r="N69" s="104"/>
      <c r="O69" s="202"/>
      <c r="P69" s="202"/>
      <c r="Q69" s="195"/>
    </row>
    <row r="70" spans="1:256" s="99" customFormat="1" x14ac:dyDescent="0.35">
      <c r="A70" s="154">
        <v>10300036</v>
      </c>
      <c r="B70" s="90" t="s">
        <v>284</v>
      </c>
      <c r="C70" s="90" t="s">
        <v>285</v>
      </c>
      <c r="D70" s="91">
        <v>2577200</v>
      </c>
      <c r="E70" s="90">
        <v>0</v>
      </c>
      <c r="F70" s="90">
        <v>0</v>
      </c>
      <c r="G70" s="90">
        <v>0</v>
      </c>
      <c r="H70" s="91">
        <v>2577200</v>
      </c>
      <c r="I70" s="91">
        <v>-2577199</v>
      </c>
      <c r="J70" s="90">
        <v>0</v>
      </c>
      <c r="K70" s="90">
        <v>0</v>
      </c>
      <c r="L70" s="91">
        <v>-2577199</v>
      </c>
      <c r="M70" s="90">
        <v>1</v>
      </c>
      <c r="N70" s="165">
        <v>1</v>
      </c>
      <c r="O70" s="72">
        <v>30282000</v>
      </c>
      <c r="P70" s="72">
        <v>25891110</v>
      </c>
      <c r="Q70" s="198"/>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row>
    <row r="71" spans="1:256" s="99" customFormat="1" x14ac:dyDescent="0.35">
      <c r="A71" s="154">
        <v>10300060</v>
      </c>
      <c r="B71" s="90" t="s">
        <v>286</v>
      </c>
      <c r="C71" s="90" t="s">
        <v>279</v>
      </c>
      <c r="D71" s="91">
        <v>53194</v>
      </c>
      <c r="E71" s="90">
        <v>0</v>
      </c>
      <c r="F71" s="90">
        <v>0</v>
      </c>
      <c r="G71" s="90">
        <v>0</v>
      </c>
      <c r="H71" s="91">
        <v>53194</v>
      </c>
      <c r="I71" s="91">
        <v>-53194</v>
      </c>
      <c r="J71" s="90">
        <v>0</v>
      </c>
      <c r="K71" s="90">
        <v>0</v>
      </c>
      <c r="L71" s="91">
        <v>-53194</v>
      </c>
      <c r="M71" s="90">
        <v>0</v>
      </c>
      <c r="N71" s="165">
        <v>0</v>
      </c>
      <c r="O71" s="72"/>
      <c r="P71" s="72"/>
      <c r="Q71" s="198"/>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row>
    <row r="72" spans="1:256" s="99" customFormat="1" x14ac:dyDescent="0.35">
      <c r="A72" s="154">
        <v>10300191</v>
      </c>
      <c r="B72" s="90" t="s">
        <v>287</v>
      </c>
      <c r="C72" s="90" t="s">
        <v>288</v>
      </c>
      <c r="D72" s="91">
        <v>2423675</v>
      </c>
      <c r="E72" s="90">
        <v>0</v>
      </c>
      <c r="F72" s="90">
        <v>0</v>
      </c>
      <c r="G72" s="90">
        <v>0</v>
      </c>
      <c r="H72" s="91">
        <v>2423675</v>
      </c>
      <c r="I72" s="91">
        <v>-1551155</v>
      </c>
      <c r="J72" s="90">
        <v>0</v>
      </c>
      <c r="K72" s="91">
        <v>-48473</v>
      </c>
      <c r="L72" s="91">
        <v>-1599628</v>
      </c>
      <c r="M72" s="91">
        <v>824047</v>
      </c>
      <c r="N72" s="155">
        <v>872520</v>
      </c>
      <c r="O72" s="72"/>
      <c r="P72" s="72"/>
      <c r="Q72" s="198"/>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row>
    <row r="73" spans="1:256" s="99" customFormat="1" x14ac:dyDescent="0.35">
      <c r="A73" s="154">
        <v>10300204</v>
      </c>
      <c r="B73" s="90" t="s">
        <v>289</v>
      </c>
      <c r="C73" s="90" t="s">
        <v>288</v>
      </c>
      <c r="D73" s="91">
        <v>811819</v>
      </c>
      <c r="E73" s="90">
        <v>0</v>
      </c>
      <c r="F73" s="90">
        <v>0</v>
      </c>
      <c r="G73" s="90">
        <v>0</v>
      </c>
      <c r="H73" s="91">
        <v>811819</v>
      </c>
      <c r="I73" s="91">
        <v>-649460</v>
      </c>
      <c r="J73" s="90">
        <v>0</v>
      </c>
      <c r="K73" s="91">
        <v>-20295</v>
      </c>
      <c r="L73" s="91">
        <v>-669755</v>
      </c>
      <c r="M73" s="91">
        <v>142064</v>
      </c>
      <c r="N73" s="155">
        <v>162359</v>
      </c>
      <c r="O73" s="72"/>
      <c r="P73" s="72"/>
      <c r="Q73" s="198"/>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row>
    <row r="74" spans="1:256" s="99" customFormat="1" x14ac:dyDescent="0.35">
      <c r="A74" s="154">
        <v>10300206</v>
      </c>
      <c r="B74" s="90" t="s">
        <v>290</v>
      </c>
      <c r="C74" s="90" t="s">
        <v>288</v>
      </c>
      <c r="D74" s="91">
        <v>1065916</v>
      </c>
      <c r="E74" s="90">
        <v>0</v>
      </c>
      <c r="F74" s="90">
        <v>0</v>
      </c>
      <c r="G74" s="90">
        <v>0</v>
      </c>
      <c r="H74" s="91">
        <v>1065916</v>
      </c>
      <c r="I74" s="91">
        <v>-852735</v>
      </c>
      <c r="J74" s="90">
        <v>0</v>
      </c>
      <c r="K74" s="91">
        <v>-26648</v>
      </c>
      <c r="L74" s="91">
        <v>-879383</v>
      </c>
      <c r="M74" s="91">
        <v>186533</v>
      </c>
      <c r="N74" s="155">
        <v>213181</v>
      </c>
      <c r="O74" s="72"/>
      <c r="P74" s="72"/>
      <c r="Q74" s="198"/>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row>
    <row r="75" spans="1:256" s="99" customFormat="1" x14ac:dyDescent="0.35">
      <c r="A75" s="154">
        <v>10300222</v>
      </c>
      <c r="B75" s="90" t="s">
        <v>291</v>
      </c>
      <c r="C75" s="90" t="s">
        <v>292</v>
      </c>
      <c r="D75" s="91">
        <v>27352</v>
      </c>
      <c r="E75" s="90">
        <v>0</v>
      </c>
      <c r="F75" s="90">
        <v>0</v>
      </c>
      <c r="G75" s="90">
        <v>0</v>
      </c>
      <c r="H75" s="91">
        <v>27352</v>
      </c>
      <c r="I75" s="91">
        <v>-17520</v>
      </c>
      <c r="J75" s="90">
        <v>0</v>
      </c>
      <c r="K75" s="90">
        <v>-547</v>
      </c>
      <c r="L75" s="91">
        <v>-18067</v>
      </c>
      <c r="M75" s="91">
        <v>9285</v>
      </c>
      <c r="N75" s="155">
        <v>9832</v>
      </c>
      <c r="O75" s="72"/>
      <c r="P75" s="72"/>
      <c r="Q75" s="198"/>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row>
    <row r="76" spans="1:256" s="99" customFormat="1" x14ac:dyDescent="0.35">
      <c r="A76" s="154">
        <v>10300355</v>
      </c>
      <c r="B76" s="90" t="s">
        <v>293</v>
      </c>
      <c r="C76" s="90" t="s">
        <v>288</v>
      </c>
      <c r="D76" s="91">
        <v>111588</v>
      </c>
      <c r="E76" s="90">
        <v>0</v>
      </c>
      <c r="F76" s="90">
        <v>0</v>
      </c>
      <c r="G76" s="90">
        <v>0</v>
      </c>
      <c r="H76" s="91">
        <v>111588</v>
      </c>
      <c r="I76" s="91">
        <v>-89272</v>
      </c>
      <c r="J76" s="90">
        <v>0</v>
      </c>
      <c r="K76" s="91">
        <v>-2790</v>
      </c>
      <c r="L76" s="91">
        <v>-92062</v>
      </c>
      <c r="M76" s="91">
        <v>19526</v>
      </c>
      <c r="N76" s="155">
        <v>22316</v>
      </c>
      <c r="O76" s="72"/>
      <c r="P76" s="72"/>
      <c r="Q76" s="198"/>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row>
    <row r="77" spans="1:256" s="99" customFormat="1" x14ac:dyDescent="0.35">
      <c r="A77" s="154">
        <v>10300355</v>
      </c>
      <c r="B77" s="90" t="s">
        <v>294</v>
      </c>
      <c r="C77" s="90" t="s">
        <v>288</v>
      </c>
      <c r="D77" s="91">
        <v>1904441.11</v>
      </c>
      <c r="E77" s="90">
        <v>0</v>
      </c>
      <c r="F77" s="90">
        <v>0</v>
      </c>
      <c r="G77" s="90">
        <v>0</v>
      </c>
      <c r="H77" s="91">
        <v>1904441.11</v>
      </c>
      <c r="I77" s="91">
        <v>-980869</v>
      </c>
      <c r="J77" s="90">
        <v>0</v>
      </c>
      <c r="K77" s="91">
        <v>-114272</v>
      </c>
      <c r="L77" s="91">
        <v>-1095141</v>
      </c>
      <c r="M77" s="91">
        <v>809300.11</v>
      </c>
      <c r="N77" s="155">
        <v>923572.11</v>
      </c>
      <c r="O77" s="72"/>
      <c r="P77" s="72"/>
      <c r="Q77" s="198"/>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row>
    <row r="78" spans="1:256" s="99" customFormat="1" ht="20" thickBot="1" x14ac:dyDescent="0.4">
      <c r="A78" s="166"/>
      <c r="B78" s="114"/>
      <c r="C78" s="114"/>
      <c r="D78" s="121">
        <f>SUM(D70:D77)</f>
        <v>8975185.1099999994</v>
      </c>
      <c r="E78" s="121">
        <f t="shared" ref="E78:N78" si="5">SUM(E70:E77)</f>
        <v>0</v>
      </c>
      <c r="F78" s="121">
        <f t="shared" si="5"/>
        <v>0</v>
      </c>
      <c r="G78" s="121">
        <f t="shared" si="5"/>
        <v>0</v>
      </c>
      <c r="H78" s="121">
        <f t="shared" si="5"/>
        <v>8975185.1099999994</v>
      </c>
      <c r="I78" s="121">
        <f t="shared" si="5"/>
        <v>-6771404</v>
      </c>
      <c r="J78" s="121">
        <f t="shared" si="5"/>
        <v>0</v>
      </c>
      <c r="K78" s="121">
        <f t="shared" si="5"/>
        <v>-213025</v>
      </c>
      <c r="L78" s="121">
        <f t="shared" si="5"/>
        <v>-6984429</v>
      </c>
      <c r="M78" s="121">
        <f t="shared" si="5"/>
        <v>1990756.1099999999</v>
      </c>
      <c r="N78" s="122">
        <f t="shared" si="5"/>
        <v>2203781.11</v>
      </c>
      <c r="O78" s="208"/>
      <c r="P78" s="208"/>
      <c r="Q78" s="199"/>
    </row>
    <row r="79" spans="1:256" s="99" customFormat="1" ht="20" thickBot="1" x14ac:dyDescent="0.4">
      <c r="A79" s="97"/>
      <c r="O79" s="193"/>
      <c r="P79" s="193"/>
      <c r="Q79" s="193"/>
    </row>
    <row r="80" spans="1:256" s="100" customFormat="1" x14ac:dyDescent="0.35">
      <c r="A80" s="152">
        <v>3</v>
      </c>
      <c r="B80" s="167" t="s">
        <v>47</v>
      </c>
      <c r="C80" s="119"/>
      <c r="D80" s="119"/>
      <c r="E80" s="119"/>
      <c r="F80" s="119"/>
      <c r="G80" s="119"/>
      <c r="H80" s="119"/>
      <c r="I80" s="119"/>
      <c r="J80" s="119"/>
      <c r="K80" s="119"/>
      <c r="L80" s="119"/>
      <c r="M80" s="119"/>
      <c r="N80" s="120"/>
      <c r="O80" s="206"/>
      <c r="P80" s="206"/>
      <c r="Q80" s="207"/>
    </row>
    <row r="81" spans="1:256" s="99" customFormat="1" x14ac:dyDescent="0.35">
      <c r="A81" s="154">
        <v>10300091</v>
      </c>
      <c r="B81" s="90" t="s">
        <v>296</v>
      </c>
      <c r="C81" s="90" t="s">
        <v>298</v>
      </c>
      <c r="D81" s="91">
        <v>517730</v>
      </c>
      <c r="E81" s="90">
        <v>0</v>
      </c>
      <c r="F81" s="90">
        <v>0</v>
      </c>
      <c r="G81" s="90">
        <v>0</v>
      </c>
      <c r="H81" s="91">
        <v>517730</v>
      </c>
      <c r="I81" s="91">
        <v>-434897</v>
      </c>
      <c r="J81" s="90">
        <v>0</v>
      </c>
      <c r="K81" s="91">
        <v>-10354</v>
      </c>
      <c r="L81" s="91">
        <v>-445251</v>
      </c>
      <c r="M81" s="91">
        <v>72479</v>
      </c>
      <c r="N81" s="155">
        <v>82833</v>
      </c>
      <c r="O81" s="72"/>
      <c r="P81" s="72"/>
      <c r="Q81" s="198"/>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row>
    <row r="82" spans="1:256" s="99" customFormat="1" x14ac:dyDescent="0.35">
      <c r="A82" s="154">
        <v>10300091</v>
      </c>
      <c r="B82" s="90" t="s">
        <v>297</v>
      </c>
      <c r="C82" s="90" t="s">
        <v>299</v>
      </c>
      <c r="D82" s="91">
        <v>1237048</v>
      </c>
      <c r="E82" s="90">
        <v>0</v>
      </c>
      <c r="F82" s="90">
        <v>0</v>
      </c>
      <c r="G82" s="90">
        <v>0</v>
      </c>
      <c r="H82" s="91">
        <v>1237048</v>
      </c>
      <c r="I82" s="91">
        <v>-473963</v>
      </c>
      <c r="J82" s="90">
        <v>0</v>
      </c>
      <c r="K82" s="91">
        <v>-95158</v>
      </c>
      <c r="L82" s="91">
        <v>-569121</v>
      </c>
      <c r="M82" s="91">
        <v>667927</v>
      </c>
      <c r="N82" s="155">
        <v>763085</v>
      </c>
      <c r="O82" s="72"/>
      <c r="P82" s="72"/>
      <c r="Q82" s="198"/>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row>
    <row r="83" spans="1:256" s="99" customFormat="1" x14ac:dyDescent="0.35">
      <c r="A83" s="154">
        <v>10300190</v>
      </c>
      <c r="B83" s="90" t="s">
        <v>300</v>
      </c>
      <c r="C83" s="90" t="s">
        <v>288</v>
      </c>
      <c r="D83" s="91">
        <v>719283</v>
      </c>
      <c r="E83" s="90">
        <v>0</v>
      </c>
      <c r="F83" s="90">
        <v>0</v>
      </c>
      <c r="G83" s="90">
        <v>0</v>
      </c>
      <c r="H83" s="91">
        <v>719283</v>
      </c>
      <c r="I83" s="91">
        <v>-460344</v>
      </c>
      <c r="J83" s="90">
        <v>0</v>
      </c>
      <c r="K83" s="91">
        <v>-14386</v>
      </c>
      <c r="L83" s="91">
        <v>-474730</v>
      </c>
      <c r="M83" s="91">
        <v>244553</v>
      </c>
      <c r="N83" s="155">
        <v>258939</v>
      </c>
      <c r="O83" s="72"/>
      <c r="P83" s="72"/>
      <c r="Q83" s="198"/>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row>
    <row r="84" spans="1:256" s="99" customFormat="1" x14ac:dyDescent="0.35">
      <c r="A84" s="154">
        <v>10300190</v>
      </c>
      <c r="B84" s="90" t="s">
        <v>300</v>
      </c>
      <c r="C84" s="90" t="s">
        <v>288</v>
      </c>
      <c r="D84" s="91">
        <v>615950</v>
      </c>
      <c r="E84" s="90">
        <v>0</v>
      </c>
      <c r="F84" s="90">
        <v>0</v>
      </c>
      <c r="G84" s="90">
        <v>0</v>
      </c>
      <c r="H84" s="91">
        <v>615950</v>
      </c>
      <c r="I84" s="91">
        <v>-102523</v>
      </c>
      <c r="J84" s="90">
        <v>0</v>
      </c>
      <c r="K84" s="91">
        <v>-12570</v>
      </c>
      <c r="L84" s="91">
        <v>-115093</v>
      </c>
      <c r="M84" s="91">
        <v>500857</v>
      </c>
      <c r="N84" s="155">
        <v>513427</v>
      </c>
      <c r="O84" s="72"/>
      <c r="P84" s="72"/>
      <c r="Q84" s="198"/>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row>
    <row r="85" spans="1:256" s="100" customFormat="1" ht="20" thickBot="1" x14ac:dyDescent="0.4">
      <c r="A85" s="166"/>
      <c r="B85" s="124"/>
      <c r="C85" s="124"/>
      <c r="D85" s="121">
        <f>SUM(D81:D84)</f>
        <v>3090011</v>
      </c>
      <c r="E85" s="121">
        <f t="shared" ref="E85:N85" si="6">SUM(E81:E84)</f>
        <v>0</v>
      </c>
      <c r="F85" s="121">
        <f t="shared" si="6"/>
        <v>0</v>
      </c>
      <c r="G85" s="121">
        <f t="shared" si="6"/>
        <v>0</v>
      </c>
      <c r="H85" s="121">
        <f t="shared" si="6"/>
        <v>3090011</v>
      </c>
      <c r="I85" s="121">
        <f t="shared" si="6"/>
        <v>-1471727</v>
      </c>
      <c r="J85" s="121">
        <f t="shared" si="6"/>
        <v>0</v>
      </c>
      <c r="K85" s="121">
        <f t="shared" si="6"/>
        <v>-132468</v>
      </c>
      <c r="L85" s="121">
        <f t="shared" si="6"/>
        <v>-1604195</v>
      </c>
      <c r="M85" s="121">
        <f t="shared" si="6"/>
        <v>1485816</v>
      </c>
      <c r="N85" s="122">
        <f t="shared" si="6"/>
        <v>1618284</v>
      </c>
      <c r="O85" s="204"/>
      <c r="P85" s="204"/>
      <c r="Q85" s="197"/>
    </row>
    <row r="86" spans="1:256" s="99" customFormat="1" ht="20" thickBot="1" x14ac:dyDescent="0.4">
      <c r="A86" s="97"/>
      <c r="O86" s="193"/>
      <c r="P86" s="193"/>
      <c r="Q86" s="193"/>
    </row>
    <row r="87" spans="1:256" s="100" customFormat="1" ht="15.5" x14ac:dyDescent="0.35">
      <c r="A87" s="152">
        <v>6</v>
      </c>
      <c r="B87" s="164" t="s">
        <v>301</v>
      </c>
      <c r="C87" s="119"/>
      <c r="D87" s="119"/>
      <c r="E87" s="119"/>
      <c r="F87" s="119"/>
      <c r="G87" s="119"/>
      <c r="H87" s="119"/>
      <c r="I87" s="119"/>
      <c r="J87" s="119"/>
      <c r="K87" s="119"/>
      <c r="L87" s="119"/>
      <c r="M87" s="119"/>
      <c r="N87" s="120"/>
      <c r="O87" s="206"/>
      <c r="P87" s="206"/>
      <c r="Q87" s="207"/>
    </row>
    <row r="88" spans="1:256" s="99" customFormat="1" x14ac:dyDescent="0.35">
      <c r="A88" s="154">
        <v>10300092</v>
      </c>
      <c r="B88" s="90" t="s">
        <v>302</v>
      </c>
      <c r="C88" s="90" t="s">
        <v>279</v>
      </c>
      <c r="D88" s="91">
        <v>175752</v>
      </c>
      <c r="E88" s="90">
        <v>0</v>
      </c>
      <c r="F88" s="90">
        <v>0</v>
      </c>
      <c r="G88" s="90">
        <v>0</v>
      </c>
      <c r="H88" s="91">
        <v>175752</v>
      </c>
      <c r="I88" s="91">
        <v>-175751</v>
      </c>
      <c r="J88" s="90">
        <v>0</v>
      </c>
      <c r="K88" s="90">
        <v>0</v>
      </c>
      <c r="L88" s="91">
        <v>-175751</v>
      </c>
      <c r="M88" s="90">
        <v>1</v>
      </c>
      <c r="N88" s="165">
        <v>1</v>
      </c>
      <c r="O88" s="72"/>
      <c r="P88" s="72"/>
      <c r="Q88" s="19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row>
    <row r="89" spans="1:256" s="99" customFormat="1" x14ac:dyDescent="0.35">
      <c r="A89" s="154">
        <v>10300093</v>
      </c>
      <c r="B89" s="90" t="s">
        <v>303</v>
      </c>
      <c r="C89" s="90" t="s">
        <v>279</v>
      </c>
      <c r="D89" s="91">
        <v>476983</v>
      </c>
      <c r="E89" s="90">
        <v>0</v>
      </c>
      <c r="F89" s="90">
        <v>0</v>
      </c>
      <c r="G89" s="90">
        <v>0</v>
      </c>
      <c r="H89" s="91">
        <v>476983</v>
      </c>
      <c r="I89" s="91">
        <v>-476982</v>
      </c>
      <c r="J89" s="90">
        <v>0</v>
      </c>
      <c r="K89" s="90">
        <v>0</v>
      </c>
      <c r="L89" s="91">
        <v>-476982</v>
      </c>
      <c r="M89" s="90">
        <v>1</v>
      </c>
      <c r="N89" s="165">
        <v>1</v>
      </c>
      <c r="O89" s="72"/>
      <c r="P89" s="72"/>
      <c r="Q89" s="198"/>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row>
    <row r="90" spans="1:256" s="99" customFormat="1" x14ac:dyDescent="0.35">
      <c r="A90" s="154">
        <v>10300094</v>
      </c>
      <c r="B90" s="90" t="s">
        <v>304</v>
      </c>
      <c r="C90" s="90" t="s">
        <v>279</v>
      </c>
      <c r="D90" s="91">
        <v>357910</v>
      </c>
      <c r="E90" s="90">
        <v>0</v>
      </c>
      <c r="F90" s="90">
        <v>0</v>
      </c>
      <c r="G90" s="90">
        <v>0</v>
      </c>
      <c r="H90" s="91">
        <v>357910</v>
      </c>
      <c r="I90" s="91">
        <v>-357909</v>
      </c>
      <c r="J90" s="90">
        <v>0</v>
      </c>
      <c r="K90" s="90">
        <v>0</v>
      </c>
      <c r="L90" s="91">
        <v>-357909</v>
      </c>
      <c r="M90" s="90">
        <v>1</v>
      </c>
      <c r="N90" s="165">
        <v>1</v>
      </c>
      <c r="O90" s="72"/>
      <c r="P90" s="72"/>
      <c r="Q90" s="198"/>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row>
    <row r="91" spans="1:256" s="99" customFormat="1" x14ac:dyDescent="0.35">
      <c r="A91" s="154">
        <v>10300095</v>
      </c>
      <c r="B91" s="90" t="s">
        <v>305</v>
      </c>
      <c r="C91" s="90" t="s">
        <v>306</v>
      </c>
      <c r="D91" s="91">
        <v>937545</v>
      </c>
      <c r="E91" s="90">
        <v>0</v>
      </c>
      <c r="F91" s="90">
        <v>0</v>
      </c>
      <c r="G91" s="90">
        <v>0</v>
      </c>
      <c r="H91" s="91">
        <v>937545</v>
      </c>
      <c r="I91" s="91">
        <v>-937544</v>
      </c>
      <c r="J91" s="90">
        <v>0</v>
      </c>
      <c r="K91" s="90">
        <v>0</v>
      </c>
      <c r="L91" s="91">
        <v>-937544</v>
      </c>
      <c r="M91" s="90">
        <v>1</v>
      </c>
      <c r="N91" s="165">
        <v>1</v>
      </c>
      <c r="O91" s="72"/>
      <c r="P91" s="72"/>
      <c r="Q91" s="198"/>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row>
    <row r="92" spans="1:256" s="100" customFormat="1" ht="20" thickBot="1" x14ac:dyDescent="0.4">
      <c r="A92" s="166"/>
      <c r="B92" s="124"/>
      <c r="C92" s="124"/>
      <c r="D92" s="121">
        <f>SUM(D88:D91)</f>
        <v>1948190</v>
      </c>
      <c r="E92" s="121">
        <f t="shared" ref="E92:N92" si="7">SUM(E88:E91)</f>
        <v>0</v>
      </c>
      <c r="F92" s="121">
        <f t="shared" si="7"/>
        <v>0</v>
      </c>
      <c r="G92" s="121">
        <f t="shared" si="7"/>
        <v>0</v>
      </c>
      <c r="H92" s="121">
        <f t="shared" si="7"/>
        <v>1948190</v>
      </c>
      <c r="I92" s="121">
        <f t="shared" si="7"/>
        <v>-1948186</v>
      </c>
      <c r="J92" s="121">
        <f t="shared" si="7"/>
        <v>0</v>
      </c>
      <c r="K92" s="121">
        <f t="shared" si="7"/>
        <v>0</v>
      </c>
      <c r="L92" s="121">
        <f t="shared" si="7"/>
        <v>-1948186</v>
      </c>
      <c r="M92" s="121">
        <f t="shared" si="7"/>
        <v>4</v>
      </c>
      <c r="N92" s="122">
        <f t="shared" si="7"/>
        <v>4</v>
      </c>
      <c r="O92" s="204"/>
      <c r="P92" s="204"/>
      <c r="Q92" s="197"/>
    </row>
    <row r="93" spans="1:256" s="99" customFormat="1" ht="20" thickBot="1" x14ac:dyDescent="0.4">
      <c r="A93" s="97"/>
      <c r="O93" s="193"/>
      <c r="P93" s="193"/>
      <c r="Q93" s="193"/>
    </row>
    <row r="94" spans="1:256" s="100" customFormat="1" x14ac:dyDescent="0.35">
      <c r="A94" s="117">
        <v>10</v>
      </c>
      <c r="B94" s="145" t="s">
        <v>62</v>
      </c>
      <c r="C94" s="119"/>
      <c r="D94" s="119"/>
      <c r="E94" s="119"/>
      <c r="F94" s="119"/>
      <c r="G94" s="119"/>
      <c r="H94" s="119"/>
      <c r="I94" s="119"/>
      <c r="J94" s="119"/>
      <c r="K94" s="119"/>
      <c r="L94" s="119"/>
      <c r="M94" s="119"/>
      <c r="N94" s="120"/>
      <c r="O94" s="206"/>
      <c r="P94" s="206"/>
      <c r="Q94" s="207"/>
    </row>
    <row r="95" spans="1:256" s="99" customFormat="1" x14ac:dyDescent="0.35">
      <c r="A95" s="107">
        <v>10400186</v>
      </c>
      <c r="B95" s="99" t="s">
        <v>222</v>
      </c>
      <c r="C95" s="99" t="s">
        <v>223</v>
      </c>
      <c r="D95" s="101">
        <v>49144714.359999999</v>
      </c>
      <c r="E95" s="99">
        <v>0</v>
      </c>
      <c r="F95" s="99">
        <v>0</v>
      </c>
      <c r="G95" s="99">
        <v>0</v>
      </c>
      <c r="H95" s="101">
        <f>SUM(D95:G95)</f>
        <v>49144714.359999999</v>
      </c>
      <c r="I95" s="101">
        <v>-1344544</v>
      </c>
      <c r="J95" s="99">
        <v>0</v>
      </c>
      <c r="K95" s="101">
        <v>-655264</v>
      </c>
      <c r="L95" s="101">
        <f>SUM(I95:K95)</f>
        <v>-1999808</v>
      </c>
      <c r="M95" s="101">
        <v>47144906.359999999</v>
      </c>
      <c r="N95" s="109">
        <v>47800170.359999999</v>
      </c>
      <c r="O95" s="193"/>
      <c r="P95" s="193"/>
      <c r="Q95" s="209"/>
    </row>
    <row r="96" spans="1:256" s="99" customFormat="1" ht="15" thickBot="1" x14ac:dyDescent="0.4">
      <c r="A96" s="113"/>
      <c r="B96" s="114"/>
      <c r="C96" s="114"/>
      <c r="D96" s="114"/>
      <c r="E96" s="114"/>
      <c r="F96" s="114"/>
      <c r="G96" s="114"/>
      <c r="H96" s="114"/>
      <c r="I96" s="114"/>
      <c r="J96" s="114"/>
      <c r="K96" s="114"/>
      <c r="L96" s="114"/>
      <c r="M96" s="114"/>
      <c r="N96" s="116"/>
      <c r="O96" s="208"/>
      <c r="P96" s="208"/>
      <c r="Q96" s="199"/>
    </row>
    <row r="97" spans="1:256" s="99" customFormat="1" ht="15" thickBot="1" x14ac:dyDescent="0.4">
      <c r="O97" s="193"/>
      <c r="P97" s="193"/>
      <c r="Q97" s="193"/>
    </row>
    <row r="98" spans="1:256" s="99" customFormat="1" x14ac:dyDescent="0.35">
      <c r="A98" s="117">
        <v>11</v>
      </c>
      <c r="B98" s="145" t="s">
        <v>63</v>
      </c>
      <c r="C98" s="103"/>
      <c r="D98" s="103"/>
      <c r="E98" s="103"/>
      <c r="F98" s="103"/>
      <c r="G98" s="103"/>
      <c r="H98" s="103"/>
      <c r="I98" s="103"/>
      <c r="J98" s="103"/>
      <c r="K98" s="103"/>
      <c r="L98" s="103"/>
      <c r="M98" s="103"/>
      <c r="N98" s="104"/>
      <c r="O98" s="202"/>
      <c r="P98" s="202"/>
      <c r="Q98" s="195"/>
    </row>
    <row r="99" spans="1:256" s="99" customFormat="1" ht="15" thickBot="1" x14ac:dyDescent="0.4">
      <c r="A99" s="146">
        <v>10400162</v>
      </c>
      <c r="B99" s="147" t="s">
        <v>275</v>
      </c>
      <c r="C99" s="147" t="s">
        <v>276</v>
      </c>
      <c r="D99" s="148">
        <v>552251382.20000005</v>
      </c>
      <c r="E99" s="147">
        <v>0</v>
      </c>
      <c r="F99" s="147">
        <v>0</v>
      </c>
      <c r="G99" s="147">
        <v>0</v>
      </c>
      <c r="H99" s="148">
        <v>552251382.20000005</v>
      </c>
      <c r="I99" s="148">
        <v>-54314838</v>
      </c>
      <c r="J99" s="147">
        <v>0</v>
      </c>
      <c r="K99" s="148">
        <v>-7355789</v>
      </c>
      <c r="L99" s="148">
        <v>-61670627</v>
      </c>
      <c r="M99" s="148">
        <v>490580755.19999999</v>
      </c>
      <c r="N99" s="149">
        <v>497936544.19999999</v>
      </c>
      <c r="O99" s="210"/>
      <c r="P99" s="210"/>
      <c r="Q99" s="201"/>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row>
    <row r="100" spans="1:256" s="99" customFormat="1" ht="15" thickBot="1" x14ac:dyDescent="0.4">
      <c r="O100" s="193"/>
      <c r="P100" s="193"/>
      <c r="Q100" s="193"/>
    </row>
    <row r="101" spans="1:256" s="100" customFormat="1" ht="29" x14ac:dyDescent="0.35">
      <c r="A101" s="152">
        <v>12</v>
      </c>
      <c r="B101" s="172" t="s">
        <v>64</v>
      </c>
      <c r="C101" s="119"/>
      <c r="D101" s="119"/>
      <c r="E101" s="119"/>
      <c r="F101" s="119"/>
      <c r="G101" s="119"/>
      <c r="H101" s="119"/>
      <c r="I101" s="119"/>
      <c r="J101" s="119"/>
      <c r="K101" s="119"/>
      <c r="L101" s="119"/>
      <c r="M101" s="119"/>
      <c r="N101" s="120"/>
      <c r="O101" s="206"/>
      <c r="P101" s="206"/>
      <c r="Q101" s="207"/>
    </row>
    <row r="102" spans="1:256" s="99" customFormat="1" x14ac:dyDescent="0.35">
      <c r="A102" s="154">
        <v>10400090</v>
      </c>
      <c r="B102" s="90" t="s">
        <v>308</v>
      </c>
      <c r="C102" s="90" t="s">
        <v>288</v>
      </c>
      <c r="D102" s="91">
        <v>1374692</v>
      </c>
      <c r="E102" s="90">
        <v>0</v>
      </c>
      <c r="F102" s="90">
        <v>0</v>
      </c>
      <c r="G102" s="90">
        <v>0</v>
      </c>
      <c r="H102" s="91">
        <v>1374692</v>
      </c>
      <c r="I102" s="91">
        <v>-586549</v>
      </c>
      <c r="J102" s="90">
        <v>0</v>
      </c>
      <c r="K102" s="91">
        <v>-18329</v>
      </c>
      <c r="L102" s="91">
        <v>-604878</v>
      </c>
      <c r="M102" s="91">
        <v>769814</v>
      </c>
      <c r="N102" s="155">
        <v>788143</v>
      </c>
      <c r="O102" s="72"/>
      <c r="P102" s="72"/>
      <c r="Q102" s="198"/>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row>
    <row r="103" spans="1:256" s="99" customFormat="1" x14ac:dyDescent="0.35">
      <c r="A103" s="154">
        <v>10400091</v>
      </c>
      <c r="B103" s="90" t="s">
        <v>309</v>
      </c>
      <c r="C103" s="90" t="s">
        <v>288</v>
      </c>
      <c r="D103" s="91">
        <v>1616733</v>
      </c>
      <c r="E103" s="90">
        <v>0</v>
      </c>
      <c r="F103" s="90">
        <v>0</v>
      </c>
      <c r="G103" s="90">
        <v>0</v>
      </c>
      <c r="H103" s="91">
        <v>1616733</v>
      </c>
      <c r="I103" s="91">
        <v>-689816</v>
      </c>
      <c r="J103" s="90">
        <v>0</v>
      </c>
      <c r="K103" s="91">
        <v>-21556</v>
      </c>
      <c r="L103" s="91">
        <v>-711372</v>
      </c>
      <c r="M103" s="91">
        <v>905361</v>
      </c>
      <c r="N103" s="155">
        <v>926917</v>
      </c>
      <c r="O103" s="72"/>
      <c r="P103" s="72"/>
      <c r="Q103" s="198"/>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row>
    <row r="104" spans="1:256" s="99" customFormat="1" x14ac:dyDescent="0.35">
      <c r="A104" s="154">
        <v>10400100</v>
      </c>
      <c r="B104" s="90" t="s">
        <v>310</v>
      </c>
      <c r="C104" s="90" t="s">
        <v>312</v>
      </c>
      <c r="D104" s="91">
        <v>21486000</v>
      </c>
      <c r="E104" s="90">
        <v>0</v>
      </c>
      <c r="F104" s="90">
        <v>0</v>
      </c>
      <c r="G104" s="90">
        <v>0</v>
      </c>
      <c r="H104" s="91">
        <v>21486000</v>
      </c>
      <c r="I104" s="91">
        <v>-21485999</v>
      </c>
      <c r="J104" s="90">
        <v>0</v>
      </c>
      <c r="K104" s="90">
        <v>0</v>
      </c>
      <c r="L104" s="91">
        <v>-21485999</v>
      </c>
      <c r="M104" s="90">
        <v>1</v>
      </c>
      <c r="N104" s="165">
        <v>1</v>
      </c>
      <c r="O104" s="72"/>
      <c r="P104" s="72"/>
      <c r="Q104" s="198"/>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row>
    <row r="105" spans="1:256" s="99" customFormat="1" x14ac:dyDescent="0.35">
      <c r="A105" s="154">
        <v>10400100</v>
      </c>
      <c r="B105" s="90" t="s">
        <v>311</v>
      </c>
      <c r="C105" s="90" t="s">
        <v>313</v>
      </c>
      <c r="D105" s="91">
        <v>2186802.5</v>
      </c>
      <c r="E105" s="90">
        <v>0</v>
      </c>
      <c r="F105" s="90">
        <v>0</v>
      </c>
      <c r="G105" s="90">
        <v>0</v>
      </c>
      <c r="H105" s="91">
        <v>2186802.5</v>
      </c>
      <c r="I105" s="91">
        <v>-2186801.5</v>
      </c>
      <c r="J105" s="90">
        <v>0</v>
      </c>
      <c r="K105" s="90">
        <v>0</v>
      </c>
      <c r="L105" s="91">
        <v>-2186801.5</v>
      </c>
      <c r="M105" s="90">
        <v>1</v>
      </c>
      <c r="N105" s="165">
        <v>1</v>
      </c>
      <c r="O105" s="72"/>
      <c r="P105" s="72"/>
      <c r="Q105" s="198"/>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row>
    <row r="106" spans="1:256" s="99" customFormat="1" x14ac:dyDescent="0.35">
      <c r="A106" s="154">
        <v>10400100</v>
      </c>
      <c r="B106" s="90" t="s">
        <v>314</v>
      </c>
      <c r="C106" s="90" t="s">
        <v>315</v>
      </c>
      <c r="D106" s="91">
        <v>5699307.1399999997</v>
      </c>
      <c r="E106" s="90">
        <v>0</v>
      </c>
      <c r="F106" s="90">
        <v>0</v>
      </c>
      <c r="G106" s="90">
        <v>0</v>
      </c>
      <c r="H106" s="91">
        <v>5699307.1399999997</v>
      </c>
      <c r="I106" s="91">
        <v>-5699306.1399999997</v>
      </c>
      <c r="J106" s="90">
        <v>0</v>
      </c>
      <c r="K106" s="90">
        <v>0</v>
      </c>
      <c r="L106" s="91">
        <v>-5699306.1399999997</v>
      </c>
      <c r="M106" s="90">
        <v>1</v>
      </c>
      <c r="N106" s="165">
        <v>1</v>
      </c>
      <c r="O106" s="72"/>
      <c r="P106" s="72"/>
      <c r="Q106" s="198"/>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row>
    <row r="107" spans="1:256" s="100" customFormat="1" ht="15" thickBot="1" x14ac:dyDescent="0.4">
      <c r="A107" s="123"/>
      <c r="B107" s="124"/>
      <c r="C107" s="124"/>
      <c r="D107" s="121">
        <f>SUM(D102:D106)</f>
        <v>32363534.640000001</v>
      </c>
      <c r="E107" s="121">
        <f t="shared" ref="E107:N107" si="8">SUM(E102:E106)</f>
        <v>0</v>
      </c>
      <c r="F107" s="121">
        <f t="shared" si="8"/>
        <v>0</v>
      </c>
      <c r="G107" s="121">
        <f t="shared" si="8"/>
        <v>0</v>
      </c>
      <c r="H107" s="121">
        <f t="shared" si="8"/>
        <v>32363534.640000001</v>
      </c>
      <c r="I107" s="121">
        <f t="shared" si="8"/>
        <v>-30648471.640000001</v>
      </c>
      <c r="J107" s="121">
        <f t="shared" si="8"/>
        <v>0</v>
      </c>
      <c r="K107" s="121">
        <f t="shared" si="8"/>
        <v>-39885</v>
      </c>
      <c r="L107" s="121">
        <f t="shared" si="8"/>
        <v>-30688356.640000001</v>
      </c>
      <c r="M107" s="121">
        <f t="shared" si="8"/>
        <v>1675178</v>
      </c>
      <c r="N107" s="122">
        <f t="shared" si="8"/>
        <v>1715063</v>
      </c>
      <c r="O107" s="204"/>
      <c r="P107" s="204"/>
      <c r="Q107" s="197"/>
    </row>
    <row r="108" spans="1:256" s="99" customFormat="1" x14ac:dyDescent="0.35">
      <c r="O108" s="193"/>
      <c r="P108" s="193"/>
      <c r="Q108" s="193"/>
    </row>
    <row r="109" spans="1:256" s="99" customFormat="1" ht="16" thickBot="1" x14ac:dyDescent="0.4">
      <c r="A109" s="674" t="s">
        <v>65</v>
      </c>
      <c r="B109" s="675"/>
      <c r="O109" s="193"/>
      <c r="P109" s="193"/>
      <c r="Q109" s="193"/>
    </row>
    <row r="110" spans="1:256" s="100" customFormat="1" x14ac:dyDescent="0.35">
      <c r="A110" s="117">
        <v>15</v>
      </c>
      <c r="B110" s="145" t="s">
        <v>70</v>
      </c>
      <c r="C110" s="119"/>
      <c r="D110" s="119"/>
      <c r="E110" s="119"/>
      <c r="F110" s="119"/>
      <c r="G110" s="119"/>
      <c r="H110" s="119"/>
      <c r="I110" s="119"/>
      <c r="J110" s="119"/>
      <c r="K110" s="119"/>
      <c r="L110" s="119"/>
      <c r="M110" s="119"/>
      <c r="N110" s="120"/>
      <c r="O110" s="206"/>
      <c r="P110" s="206"/>
      <c r="Q110" s="207"/>
    </row>
    <row r="111" spans="1:256" s="99" customFormat="1" x14ac:dyDescent="0.35">
      <c r="A111" s="107">
        <v>10400111</v>
      </c>
      <c r="B111" s="99" t="s">
        <v>224</v>
      </c>
      <c r="C111" s="99" t="s">
        <v>225</v>
      </c>
      <c r="D111" s="101">
        <v>219830788</v>
      </c>
      <c r="E111" s="99">
        <v>0</v>
      </c>
      <c r="F111" s="99">
        <v>0</v>
      </c>
      <c r="G111" s="99">
        <v>0</v>
      </c>
      <c r="H111" s="101">
        <f>SUM(D111:G111)</f>
        <v>219830788</v>
      </c>
      <c r="I111" s="101">
        <v>-87913633</v>
      </c>
      <c r="J111" s="99">
        <v>0</v>
      </c>
      <c r="K111" s="101">
        <v>-5735528</v>
      </c>
      <c r="L111" s="101">
        <f>SUM(I111:K111)</f>
        <v>-93649161</v>
      </c>
      <c r="M111" s="101">
        <v>126181627</v>
      </c>
      <c r="N111" s="109">
        <v>131917155</v>
      </c>
      <c r="O111" s="193"/>
      <c r="P111" s="193"/>
      <c r="Q111" s="209"/>
    </row>
    <row r="112" spans="1:256" s="99" customFormat="1" x14ac:dyDescent="0.35">
      <c r="A112" s="107">
        <v>10400160</v>
      </c>
      <c r="B112" s="99" t="s">
        <v>226</v>
      </c>
      <c r="C112" s="99" t="s">
        <v>227</v>
      </c>
      <c r="D112" s="101">
        <v>216897919.78</v>
      </c>
      <c r="E112" s="99">
        <v>0</v>
      </c>
      <c r="F112" s="99">
        <v>0</v>
      </c>
      <c r="G112" s="99">
        <v>0</v>
      </c>
      <c r="H112" s="101">
        <f>SUM(D112:G112)</f>
        <v>216897919.78</v>
      </c>
      <c r="I112" s="101">
        <v>-49619113</v>
      </c>
      <c r="J112" s="99">
        <v>0</v>
      </c>
      <c r="K112" s="101">
        <v>-5422448</v>
      </c>
      <c r="L112" s="101">
        <f>SUM(I112:K112)</f>
        <v>-55041561</v>
      </c>
      <c r="M112" s="101">
        <v>161856358.78</v>
      </c>
      <c r="N112" s="109">
        <v>167278806.78</v>
      </c>
      <c r="O112" s="193"/>
      <c r="P112" s="193"/>
      <c r="Q112" s="209"/>
    </row>
    <row r="113" spans="1:256" s="99" customFormat="1" ht="15" thickBot="1" x14ac:dyDescent="0.4">
      <c r="A113" s="113"/>
      <c r="B113" s="114"/>
      <c r="C113" s="114"/>
      <c r="D113" s="121">
        <f>SUM(D111:D112)</f>
        <v>436728707.77999997</v>
      </c>
      <c r="E113" s="121">
        <f t="shared" ref="E113:N113" si="9">SUM(E111:E112)</f>
        <v>0</v>
      </c>
      <c r="F113" s="121">
        <f t="shared" si="9"/>
        <v>0</v>
      </c>
      <c r="G113" s="121">
        <f t="shared" si="9"/>
        <v>0</v>
      </c>
      <c r="H113" s="121">
        <f t="shared" si="9"/>
        <v>436728707.77999997</v>
      </c>
      <c r="I113" s="121">
        <f t="shared" si="9"/>
        <v>-137532746</v>
      </c>
      <c r="J113" s="121">
        <f t="shared" si="9"/>
        <v>0</v>
      </c>
      <c r="K113" s="121">
        <f t="shared" si="9"/>
        <v>-11157976</v>
      </c>
      <c r="L113" s="121">
        <f t="shared" si="9"/>
        <v>-148690722</v>
      </c>
      <c r="M113" s="121">
        <f t="shared" si="9"/>
        <v>288037985.77999997</v>
      </c>
      <c r="N113" s="122">
        <f t="shared" si="9"/>
        <v>299195961.77999997</v>
      </c>
      <c r="O113" s="208"/>
      <c r="P113" s="208"/>
      <c r="Q113" s="199"/>
    </row>
    <row r="114" spans="1:256" s="99" customFormat="1" x14ac:dyDescent="0.35">
      <c r="O114" s="193"/>
      <c r="P114" s="193"/>
      <c r="Q114" s="193"/>
    </row>
    <row r="115" spans="1:256" s="99" customFormat="1" ht="17.5" thickBot="1" x14ac:dyDescent="0.4">
      <c r="A115" s="173" t="s">
        <v>158</v>
      </c>
      <c r="B115" s="94"/>
      <c r="O115" s="193"/>
      <c r="P115" s="193"/>
      <c r="Q115" s="193"/>
    </row>
    <row r="116" spans="1:256" s="99" customFormat="1" x14ac:dyDescent="0.35">
      <c r="A116" s="152">
        <v>1</v>
      </c>
      <c r="B116" s="172" t="s">
        <v>72</v>
      </c>
      <c r="C116" s="103"/>
      <c r="D116" s="103"/>
      <c r="E116" s="103"/>
      <c r="F116" s="103"/>
      <c r="G116" s="103"/>
      <c r="H116" s="103"/>
      <c r="I116" s="103"/>
      <c r="J116" s="103"/>
      <c r="K116" s="103"/>
      <c r="L116" s="103"/>
      <c r="M116" s="103"/>
      <c r="N116" s="104"/>
      <c r="O116" s="202"/>
      <c r="P116" s="202"/>
      <c r="Q116" s="195"/>
    </row>
    <row r="117" spans="1:256" s="99" customFormat="1" x14ac:dyDescent="0.35">
      <c r="A117" s="154">
        <v>10300107</v>
      </c>
      <c r="B117" s="90" t="s">
        <v>319</v>
      </c>
      <c r="C117" s="90" t="s">
        <v>279</v>
      </c>
      <c r="D117" s="91">
        <v>149199</v>
      </c>
      <c r="E117" s="90">
        <v>0</v>
      </c>
      <c r="F117" s="90">
        <v>0</v>
      </c>
      <c r="G117" s="90">
        <v>0</v>
      </c>
      <c r="H117" s="91">
        <v>149199</v>
      </c>
      <c r="I117" s="91">
        <v>-149198</v>
      </c>
      <c r="J117" s="90">
        <v>0</v>
      </c>
      <c r="K117" s="90">
        <v>0</v>
      </c>
      <c r="L117" s="91">
        <v>-149198</v>
      </c>
      <c r="M117" s="90">
        <v>1</v>
      </c>
      <c r="N117" s="165">
        <v>1</v>
      </c>
      <c r="O117" s="203">
        <v>7000</v>
      </c>
      <c r="P117" s="203">
        <v>0</v>
      </c>
      <c r="Q117" s="196">
        <v>7000</v>
      </c>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row>
    <row r="118" spans="1:256" s="99" customFormat="1" x14ac:dyDescent="0.35">
      <c r="A118" s="154">
        <v>10300107</v>
      </c>
      <c r="B118" s="90" t="s">
        <v>320</v>
      </c>
      <c r="C118" s="90" t="s">
        <v>321</v>
      </c>
      <c r="D118" s="91">
        <v>191914</v>
      </c>
      <c r="E118" s="90">
        <v>0</v>
      </c>
      <c r="F118" s="90">
        <v>0</v>
      </c>
      <c r="G118" s="90">
        <v>0</v>
      </c>
      <c r="H118" s="91">
        <v>191914</v>
      </c>
      <c r="I118" s="91">
        <v>-191913</v>
      </c>
      <c r="J118" s="90">
        <v>0</v>
      </c>
      <c r="K118" s="90">
        <v>0</v>
      </c>
      <c r="L118" s="91">
        <v>-191913</v>
      </c>
      <c r="M118" s="90">
        <v>1</v>
      </c>
      <c r="N118" s="165">
        <v>1</v>
      </c>
      <c r="O118" s="203">
        <v>322000</v>
      </c>
      <c r="P118" s="203">
        <v>55062</v>
      </c>
      <c r="Q118" s="196">
        <v>266938</v>
      </c>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row>
    <row r="119" spans="1:256" s="99" customFormat="1" x14ac:dyDescent="0.35">
      <c r="A119" s="154">
        <v>10300114</v>
      </c>
      <c r="B119" s="90" t="s">
        <v>322</v>
      </c>
      <c r="C119" s="90" t="s">
        <v>279</v>
      </c>
      <c r="D119" s="91">
        <v>191923</v>
      </c>
      <c r="E119" s="90">
        <v>0</v>
      </c>
      <c r="F119" s="90">
        <v>0</v>
      </c>
      <c r="G119" s="90">
        <v>0</v>
      </c>
      <c r="H119" s="91">
        <v>191923</v>
      </c>
      <c r="I119" s="91">
        <v>-191922</v>
      </c>
      <c r="J119" s="90">
        <v>0</v>
      </c>
      <c r="K119" s="90">
        <v>0</v>
      </c>
      <c r="L119" s="91">
        <v>-191922</v>
      </c>
      <c r="M119" s="90">
        <v>1</v>
      </c>
      <c r="N119" s="165">
        <v>1</v>
      </c>
      <c r="O119" s="203">
        <v>10000</v>
      </c>
      <c r="P119" s="203">
        <v>0</v>
      </c>
      <c r="Q119" s="196">
        <v>10000</v>
      </c>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row>
    <row r="120" spans="1:256" s="99" customFormat="1" x14ac:dyDescent="0.35">
      <c r="A120" s="154">
        <v>10300117</v>
      </c>
      <c r="B120" s="90" t="s">
        <v>323</v>
      </c>
      <c r="C120" s="90" t="s">
        <v>325</v>
      </c>
      <c r="D120" s="91">
        <v>221803</v>
      </c>
      <c r="E120" s="90">
        <v>0</v>
      </c>
      <c r="F120" s="90">
        <v>0</v>
      </c>
      <c r="G120" s="90">
        <v>0</v>
      </c>
      <c r="H120" s="91">
        <v>221803</v>
      </c>
      <c r="I120" s="91">
        <v>-204057</v>
      </c>
      <c r="J120" s="90">
        <v>0</v>
      </c>
      <c r="K120" s="91">
        <v>-4437</v>
      </c>
      <c r="L120" s="91">
        <v>-208494</v>
      </c>
      <c r="M120" s="91">
        <v>13309</v>
      </c>
      <c r="N120" s="155">
        <v>17746</v>
      </c>
      <c r="O120" s="203">
        <v>2606000</v>
      </c>
      <c r="P120" s="203">
        <v>2327158</v>
      </c>
      <c r="Q120" s="196">
        <v>278842</v>
      </c>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row>
    <row r="121" spans="1:256" s="99" customFormat="1" x14ac:dyDescent="0.35">
      <c r="A121" s="154">
        <v>10300118</v>
      </c>
      <c r="B121" s="90" t="s">
        <v>324</v>
      </c>
      <c r="C121" s="90" t="s">
        <v>326</v>
      </c>
      <c r="D121" s="91">
        <v>463052</v>
      </c>
      <c r="E121" s="90">
        <v>0</v>
      </c>
      <c r="F121" s="90">
        <v>0</v>
      </c>
      <c r="G121" s="90">
        <v>0</v>
      </c>
      <c r="H121" s="91">
        <v>463052</v>
      </c>
      <c r="I121" s="91">
        <v>-463051</v>
      </c>
      <c r="J121" s="90">
        <v>0</v>
      </c>
      <c r="K121" s="90">
        <v>0</v>
      </c>
      <c r="L121" s="91">
        <v>-463051</v>
      </c>
      <c r="M121" s="90">
        <v>1</v>
      </c>
      <c r="N121" s="165">
        <v>1</v>
      </c>
      <c r="O121" s="203">
        <v>23000</v>
      </c>
      <c r="P121" s="203">
        <v>0</v>
      </c>
      <c r="Q121" s="196">
        <v>23000</v>
      </c>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row>
    <row r="122" spans="1:256" s="99" customFormat="1" x14ac:dyDescent="0.35">
      <c r="A122" s="154">
        <v>10300410</v>
      </c>
      <c r="B122" s="90" t="s">
        <v>327</v>
      </c>
      <c r="C122" s="90" t="s">
        <v>328</v>
      </c>
      <c r="D122" s="91">
        <v>668728</v>
      </c>
      <c r="E122" s="90">
        <v>0</v>
      </c>
      <c r="F122" s="90">
        <v>0</v>
      </c>
      <c r="G122" s="90">
        <v>0</v>
      </c>
      <c r="H122" s="91">
        <v>668728</v>
      </c>
      <c r="I122" s="91">
        <v>-668727</v>
      </c>
      <c r="J122" s="90">
        <v>0</v>
      </c>
      <c r="K122" s="90">
        <v>0</v>
      </c>
      <c r="L122" s="91">
        <v>-668727</v>
      </c>
      <c r="M122" s="90">
        <v>1</v>
      </c>
      <c r="N122" s="165">
        <v>1</v>
      </c>
      <c r="O122" s="203">
        <v>7858000</v>
      </c>
      <c r="P122" s="203">
        <v>7166496</v>
      </c>
      <c r="Q122" s="196">
        <v>691504</v>
      </c>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row>
    <row r="123" spans="1:256" s="99" customFormat="1" x14ac:dyDescent="0.35">
      <c r="A123" s="154">
        <v>10300107</v>
      </c>
      <c r="B123" s="90" t="s">
        <v>329</v>
      </c>
      <c r="C123" s="90" t="s">
        <v>330</v>
      </c>
      <c r="D123" s="91">
        <v>1627713.45</v>
      </c>
      <c r="E123" s="90">
        <v>0</v>
      </c>
      <c r="F123" s="90">
        <v>0</v>
      </c>
      <c r="G123" s="90">
        <v>0</v>
      </c>
      <c r="H123" s="91">
        <v>1627713.45</v>
      </c>
      <c r="I123" s="91">
        <v>-1627712.45</v>
      </c>
      <c r="J123" s="90">
        <v>0</v>
      </c>
      <c r="K123" s="90">
        <v>0</v>
      </c>
      <c r="L123" s="91">
        <v>-1627712.45</v>
      </c>
      <c r="M123" s="90">
        <v>1</v>
      </c>
      <c r="N123" s="165">
        <v>1</v>
      </c>
      <c r="O123" s="203">
        <v>1794000</v>
      </c>
      <c r="P123" s="203">
        <v>136344</v>
      </c>
      <c r="Q123" s="196">
        <v>1657656</v>
      </c>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row>
    <row r="124" spans="1:256" s="99" customFormat="1" ht="15" thickBot="1" x14ac:dyDescent="0.4">
      <c r="A124" s="113"/>
      <c r="B124" s="114"/>
      <c r="C124" s="114"/>
      <c r="D124" s="121">
        <f>SUM(D117:D123)</f>
        <v>3514332.45</v>
      </c>
      <c r="E124" s="121">
        <f t="shared" ref="E124:N124" si="10">SUM(E117:E123)</f>
        <v>0</v>
      </c>
      <c r="F124" s="121">
        <f t="shared" si="10"/>
        <v>0</v>
      </c>
      <c r="G124" s="121">
        <f t="shared" si="10"/>
        <v>0</v>
      </c>
      <c r="H124" s="121">
        <f t="shared" si="10"/>
        <v>3514332.45</v>
      </c>
      <c r="I124" s="121">
        <f t="shared" si="10"/>
        <v>-3496580.45</v>
      </c>
      <c r="J124" s="121">
        <f t="shared" si="10"/>
        <v>0</v>
      </c>
      <c r="K124" s="121">
        <f t="shared" si="10"/>
        <v>-4437</v>
      </c>
      <c r="L124" s="121">
        <f t="shared" si="10"/>
        <v>-3501017.45</v>
      </c>
      <c r="M124" s="121">
        <f t="shared" si="10"/>
        <v>13315</v>
      </c>
      <c r="N124" s="122">
        <f t="shared" si="10"/>
        <v>17752</v>
      </c>
      <c r="O124" s="204">
        <f>SUM(O117:O123)</f>
        <v>12620000</v>
      </c>
      <c r="P124" s="204">
        <f>SUM(P117:P123)</f>
        <v>9685060</v>
      </c>
      <c r="Q124" s="197">
        <f>SUM(Q117:Q123)</f>
        <v>2934940</v>
      </c>
    </row>
    <row r="125" spans="1:256" s="99" customFormat="1" ht="15" thickBot="1" x14ac:dyDescent="0.4">
      <c r="O125" s="193"/>
      <c r="P125" s="193"/>
      <c r="Q125" s="193"/>
    </row>
    <row r="126" spans="1:256" s="99" customFormat="1" ht="15.5" x14ac:dyDescent="0.35">
      <c r="A126" s="152">
        <v>2</v>
      </c>
      <c r="B126" s="164" t="s">
        <v>75</v>
      </c>
      <c r="C126" s="103"/>
      <c r="D126" s="103"/>
      <c r="E126" s="103"/>
      <c r="F126" s="103"/>
      <c r="G126" s="103"/>
      <c r="H126" s="103"/>
      <c r="I126" s="103"/>
      <c r="J126" s="103"/>
      <c r="K126" s="103"/>
      <c r="L126" s="103"/>
      <c r="M126" s="103"/>
      <c r="N126" s="104"/>
      <c r="O126" s="202"/>
      <c r="P126" s="202"/>
      <c r="Q126" s="195"/>
    </row>
    <row r="127" spans="1:256" s="99" customFormat="1" x14ac:dyDescent="0.35">
      <c r="A127" s="154">
        <v>10300330</v>
      </c>
      <c r="B127" s="90" t="s">
        <v>331</v>
      </c>
      <c r="C127" s="90" t="s">
        <v>335</v>
      </c>
      <c r="D127" s="91">
        <v>55125020</v>
      </c>
      <c r="E127" s="90">
        <v>0</v>
      </c>
      <c r="F127" s="90">
        <v>0</v>
      </c>
      <c r="G127" s="90">
        <v>0</v>
      </c>
      <c r="H127" s="91">
        <v>55125020</v>
      </c>
      <c r="I127" s="91">
        <v>-27270200</v>
      </c>
      <c r="J127" s="90">
        <v>0</v>
      </c>
      <c r="K127" s="91">
        <v>-1406809</v>
      </c>
      <c r="L127" s="91">
        <v>-28677009</v>
      </c>
      <c r="M127" s="91">
        <v>26448011</v>
      </c>
      <c r="N127" s="155">
        <v>27854820</v>
      </c>
      <c r="O127" s="203">
        <v>195685000</v>
      </c>
      <c r="P127" s="203">
        <v>78078315</v>
      </c>
      <c r="Q127" s="198">
        <v>117606685</v>
      </c>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row>
    <row r="128" spans="1:256" s="99" customFormat="1" x14ac:dyDescent="0.35">
      <c r="A128" s="154">
        <v>10300330</v>
      </c>
      <c r="B128" s="90" t="s">
        <v>331</v>
      </c>
      <c r="C128" s="90" t="s">
        <v>335</v>
      </c>
      <c r="D128" s="91">
        <v>2039578.9</v>
      </c>
      <c r="E128" s="90">
        <v>0</v>
      </c>
      <c r="F128" s="90">
        <v>0</v>
      </c>
      <c r="G128" s="90">
        <v>0</v>
      </c>
      <c r="H128" s="91">
        <v>2039578.9</v>
      </c>
      <c r="I128" s="91">
        <v>-586391</v>
      </c>
      <c r="J128" s="90">
        <v>0</v>
      </c>
      <c r="K128" s="91">
        <v>-73272</v>
      </c>
      <c r="L128" s="91">
        <v>-659663</v>
      </c>
      <c r="M128" s="91">
        <v>1379915.9</v>
      </c>
      <c r="N128" s="155">
        <v>1453187.9</v>
      </c>
      <c r="O128" s="203">
        <v>7240000</v>
      </c>
      <c r="P128" s="203">
        <v>2888760</v>
      </c>
      <c r="Q128" s="198">
        <v>4351240</v>
      </c>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row>
    <row r="129" spans="1:256" s="99" customFormat="1" x14ac:dyDescent="0.35">
      <c r="A129" s="154">
        <v>10300330</v>
      </c>
      <c r="B129" s="90" t="s">
        <v>332</v>
      </c>
      <c r="C129" s="90" t="s">
        <v>336</v>
      </c>
      <c r="D129" s="91">
        <v>555041.17000000004</v>
      </c>
      <c r="E129" s="90">
        <v>0</v>
      </c>
      <c r="F129" s="90">
        <v>0</v>
      </c>
      <c r="G129" s="90">
        <v>0</v>
      </c>
      <c r="H129" s="91">
        <v>555041.17000000004</v>
      </c>
      <c r="I129" s="91">
        <v>-239468</v>
      </c>
      <c r="J129" s="90">
        <v>0</v>
      </c>
      <c r="K129" s="91">
        <v>-29934</v>
      </c>
      <c r="L129" s="91">
        <v>-269402</v>
      </c>
      <c r="M129" s="91">
        <v>285639.17</v>
      </c>
      <c r="N129" s="155">
        <v>315573.17</v>
      </c>
      <c r="O129" s="203">
        <v>1134000</v>
      </c>
      <c r="P129" s="203">
        <v>237006</v>
      </c>
      <c r="Q129" s="198">
        <v>896994</v>
      </c>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c r="IV129"/>
    </row>
    <row r="130" spans="1:256" s="99" customFormat="1" x14ac:dyDescent="0.35">
      <c r="A130" s="154">
        <v>10300330</v>
      </c>
      <c r="B130" s="90" t="s">
        <v>333</v>
      </c>
      <c r="C130" s="90" t="s">
        <v>337</v>
      </c>
      <c r="D130" s="91">
        <v>317052.19</v>
      </c>
      <c r="E130" s="90">
        <v>0</v>
      </c>
      <c r="F130" s="90">
        <v>0</v>
      </c>
      <c r="G130" s="90">
        <v>0</v>
      </c>
      <c r="H130" s="91">
        <v>317052.19</v>
      </c>
      <c r="I130" s="91">
        <v>-50619</v>
      </c>
      <c r="J130" s="90">
        <v>0</v>
      </c>
      <c r="K130" s="91">
        <v>-13843</v>
      </c>
      <c r="L130" s="91">
        <v>-64462</v>
      </c>
      <c r="M130" s="91">
        <v>252590.19</v>
      </c>
      <c r="N130" s="155">
        <v>266433.19</v>
      </c>
      <c r="O130" s="203">
        <v>370000</v>
      </c>
      <c r="P130" s="203">
        <v>35150</v>
      </c>
      <c r="Q130" s="198">
        <v>334850</v>
      </c>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c r="IV130"/>
    </row>
    <row r="131" spans="1:256" s="99" customFormat="1" x14ac:dyDescent="0.35">
      <c r="A131" s="154">
        <v>10300330</v>
      </c>
      <c r="B131" s="90" t="s">
        <v>334</v>
      </c>
      <c r="C131" s="90" t="s">
        <v>338</v>
      </c>
      <c r="D131" s="91">
        <v>1175397.8899999999</v>
      </c>
      <c r="E131" s="90">
        <v>0</v>
      </c>
      <c r="F131" s="90">
        <v>0</v>
      </c>
      <c r="G131" s="90">
        <v>0</v>
      </c>
      <c r="H131" s="91">
        <v>1175397.8899999999</v>
      </c>
      <c r="I131" s="91">
        <v>-113732</v>
      </c>
      <c r="J131" s="90">
        <v>0</v>
      </c>
      <c r="K131" s="91">
        <v>-49320</v>
      </c>
      <c r="L131" s="91">
        <v>-163052</v>
      </c>
      <c r="M131" s="91">
        <v>1012345.89</v>
      </c>
      <c r="N131" s="155">
        <v>1061665.8899999999</v>
      </c>
      <c r="O131" s="203">
        <v>1296000</v>
      </c>
      <c r="P131" s="203">
        <v>98496</v>
      </c>
      <c r="Q131" s="198">
        <v>1197504</v>
      </c>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c r="IV131"/>
    </row>
    <row r="132" spans="1:256" s="99" customFormat="1" x14ac:dyDescent="0.35">
      <c r="A132" s="154">
        <v>10300409</v>
      </c>
      <c r="B132" s="90" t="s">
        <v>339</v>
      </c>
      <c r="C132" s="90" t="s">
        <v>340</v>
      </c>
      <c r="D132" s="91">
        <v>2086109</v>
      </c>
      <c r="E132" s="90">
        <v>0</v>
      </c>
      <c r="F132" s="90">
        <v>0</v>
      </c>
      <c r="G132" s="90">
        <v>0</v>
      </c>
      <c r="H132" s="91">
        <v>2086109</v>
      </c>
      <c r="I132" s="91">
        <v>-1667611</v>
      </c>
      <c r="J132" s="90">
        <v>0</v>
      </c>
      <c r="K132" s="91">
        <v>-52152</v>
      </c>
      <c r="L132" s="91">
        <v>-1719763</v>
      </c>
      <c r="M132" s="91">
        <v>366346</v>
      </c>
      <c r="N132" s="155">
        <v>418498</v>
      </c>
      <c r="O132" s="203">
        <v>17508000</v>
      </c>
      <c r="P132" s="203">
        <v>10977516</v>
      </c>
      <c r="Q132" s="198">
        <v>6530484</v>
      </c>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c r="IV132"/>
    </row>
    <row r="133" spans="1:256" s="100" customFormat="1" ht="15" thickBot="1" x14ac:dyDescent="0.4">
      <c r="A133" s="123"/>
      <c r="B133" s="124"/>
      <c r="C133" s="124"/>
      <c r="D133" s="121">
        <f>SUM(D127:D132)</f>
        <v>61298199.149999999</v>
      </c>
      <c r="E133" s="121">
        <f t="shared" ref="E133:Q133" si="11">SUM(E127:E132)</f>
        <v>0</v>
      </c>
      <c r="F133" s="121">
        <f t="shared" si="11"/>
        <v>0</v>
      </c>
      <c r="G133" s="121">
        <f t="shared" si="11"/>
        <v>0</v>
      </c>
      <c r="H133" s="121">
        <f t="shared" si="11"/>
        <v>61298199.149999999</v>
      </c>
      <c r="I133" s="121">
        <f t="shared" si="11"/>
        <v>-29928021</v>
      </c>
      <c r="J133" s="121">
        <f t="shared" si="11"/>
        <v>0</v>
      </c>
      <c r="K133" s="121">
        <f t="shared" si="11"/>
        <v>-1625330</v>
      </c>
      <c r="L133" s="121">
        <f t="shared" si="11"/>
        <v>-31553351</v>
      </c>
      <c r="M133" s="121">
        <f t="shared" si="11"/>
        <v>29744848.150000002</v>
      </c>
      <c r="N133" s="121">
        <f t="shared" si="11"/>
        <v>31370178.150000002</v>
      </c>
      <c r="O133" s="204">
        <f t="shared" si="11"/>
        <v>223233000</v>
      </c>
      <c r="P133" s="204">
        <f t="shared" si="11"/>
        <v>92315243</v>
      </c>
      <c r="Q133" s="197">
        <f t="shared" si="11"/>
        <v>130917757</v>
      </c>
    </row>
    <row r="134" spans="1:256" s="99" customFormat="1" ht="15" thickBot="1" x14ac:dyDescent="0.4">
      <c r="O134" s="193"/>
      <c r="P134" s="193"/>
      <c r="Q134" s="193"/>
    </row>
    <row r="135" spans="1:256" s="99" customFormat="1" ht="15.5" x14ac:dyDescent="0.35">
      <c r="A135" s="152">
        <v>3</v>
      </c>
      <c r="B135" s="164" t="s">
        <v>77</v>
      </c>
      <c r="C135" s="103"/>
      <c r="D135" s="103"/>
      <c r="E135" s="103"/>
      <c r="F135" s="103"/>
      <c r="G135" s="103"/>
      <c r="H135" s="103"/>
      <c r="I135" s="103"/>
      <c r="J135" s="103"/>
      <c r="K135" s="103"/>
      <c r="L135" s="103"/>
      <c r="M135" s="103"/>
      <c r="N135" s="104"/>
      <c r="O135" s="202"/>
      <c r="P135" s="202"/>
      <c r="Q135" s="195"/>
    </row>
    <row r="136" spans="1:256" s="175" customFormat="1" x14ac:dyDescent="0.35">
      <c r="A136" s="176">
        <v>10300023</v>
      </c>
      <c r="B136" s="177" t="s">
        <v>341</v>
      </c>
      <c r="C136" s="177" t="s">
        <v>342</v>
      </c>
      <c r="D136" s="178">
        <v>12270</v>
      </c>
      <c r="E136" s="177">
        <v>0</v>
      </c>
      <c r="F136" s="177">
        <v>0</v>
      </c>
      <c r="G136" s="177">
        <v>0</v>
      </c>
      <c r="H136" s="178">
        <v>12270</v>
      </c>
      <c r="I136" s="178">
        <v>-12269</v>
      </c>
      <c r="J136" s="177">
        <v>0</v>
      </c>
      <c r="K136" s="177">
        <v>0</v>
      </c>
      <c r="L136" s="178">
        <v>-12269</v>
      </c>
      <c r="M136" s="177">
        <v>1</v>
      </c>
      <c r="N136" s="179">
        <v>1</v>
      </c>
      <c r="O136" s="203">
        <v>1000</v>
      </c>
      <c r="P136" s="203">
        <v>0</v>
      </c>
      <c r="Q136" s="196">
        <v>1000</v>
      </c>
      <c r="R136" s="174"/>
      <c r="S136" s="174"/>
      <c r="T136" s="174"/>
      <c r="U136" s="174"/>
      <c r="V136" s="174"/>
      <c r="W136" s="174"/>
      <c r="X136" s="174"/>
      <c r="Y136" s="174"/>
      <c r="Z136" s="174"/>
      <c r="AA136" s="174"/>
      <c r="AB136" s="174"/>
      <c r="AC136" s="174"/>
      <c r="AD136" s="174"/>
      <c r="AE136" s="174"/>
      <c r="AF136" s="174"/>
      <c r="AG136" s="174"/>
      <c r="AH136" s="174"/>
      <c r="AI136" s="174"/>
      <c r="AJ136" s="174"/>
      <c r="AK136" s="174"/>
      <c r="AL136" s="174"/>
      <c r="AM136" s="174"/>
      <c r="AN136" s="174"/>
      <c r="AO136" s="174"/>
      <c r="AP136" s="174"/>
      <c r="AQ136" s="174"/>
      <c r="AR136" s="174"/>
      <c r="AS136" s="174"/>
      <c r="AT136" s="174"/>
      <c r="AU136" s="174"/>
      <c r="AV136" s="174"/>
      <c r="AW136" s="174"/>
      <c r="AX136" s="174"/>
      <c r="AY136" s="174"/>
      <c r="AZ136" s="174"/>
      <c r="BA136" s="174"/>
      <c r="BB136" s="174"/>
      <c r="BC136" s="174"/>
      <c r="BD136" s="174"/>
      <c r="BE136" s="174"/>
      <c r="BF136" s="174"/>
      <c r="BG136" s="174"/>
      <c r="BH136" s="174"/>
      <c r="BI136" s="174"/>
      <c r="BJ136" s="174"/>
      <c r="BK136" s="174"/>
      <c r="BL136" s="174"/>
      <c r="BM136" s="174"/>
      <c r="BN136" s="174"/>
      <c r="BO136" s="174"/>
      <c r="BP136" s="174"/>
      <c r="BQ136" s="174"/>
      <c r="BR136" s="174"/>
      <c r="BS136" s="174"/>
      <c r="BT136" s="174"/>
      <c r="BU136" s="174"/>
      <c r="BV136" s="174"/>
      <c r="BW136" s="174"/>
      <c r="BX136" s="174"/>
      <c r="BY136" s="174"/>
      <c r="BZ136" s="174"/>
      <c r="CA136" s="174"/>
      <c r="CB136" s="174"/>
      <c r="CC136" s="174"/>
      <c r="CD136" s="174"/>
      <c r="CE136" s="174"/>
      <c r="CF136" s="174"/>
      <c r="CG136" s="174"/>
      <c r="CH136" s="174"/>
      <c r="CI136" s="174"/>
      <c r="CJ136" s="174"/>
      <c r="CK136" s="174"/>
      <c r="CL136" s="174"/>
      <c r="CM136" s="174"/>
      <c r="CN136" s="174"/>
      <c r="CO136" s="174"/>
      <c r="CP136" s="174"/>
      <c r="CQ136" s="174"/>
      <c r="CR136" s="174"/>
      <c r="CS136" s="174"/>
      <c r="CT136" s="174"/>
      <c r="CU136" s="174"/>
      <c r="CV136" s="174"/>
      <c r="CW136" s="174"/>
      <c r="CX136" s="174"/>
      <c r="CY136" s="174"/>
      <c r="CZ136" s="174"/>
      <c r="DA136" s="174"/>
      <c r="DB136" s="174"/>
      <c r="DC136" s="174"/>
      <c r="DD136" s="174"/>
      <c r="DE136" s="174"/>
      <c r="DF136" s="174"/>
      <c r="DG136" s="174"/>
      <c r="DH136" s="174"/>
      <c r="DI136" s="174"/>
      <c r="DJ136" s="174"/>
      <c r="DK136" s="174"/>
      <c r="DL136" s="174"/>
      <c r="DM136" s="174"/>
      <c r="DN136" s="174"/>
      <c r="DO136" s="174"/>
      <c r="DP136" s="174"/>
      <c r="DQ136" s="174"/>
      <c r="DR136" s="174"/>
      <c r="DS136" s="174"/>
      <c r="DT136" s="174"/>
      <c r="DU136" s="174"/>
      <c r="DV136" s="174"/>
      <c r="DW136" s="174"/>
      <c r="DX136" s="174"/>
      <c r="DY136" s="174"/>
      <c r="DZ136" s="174"/>
      <c r="EA136" s="174"/>
      <c r="EB136" s="174"/>
      <c r="EC136" s="174"/>
      <c r="ED136" s="174"/>
      <c r="EE136" s="174"/>
      <c r="EF136" s="174"/>
      <c r="EG136" s="174"/>
      <c r="EH136" s="174"/>
      <c r="EI136" s="174"/>
      <c r="EJ136" s="174"/>
      <c r="EK136" s="174"/>
      <c r="EL136" s="174"/>
      <c r="EM136" s="174"/>
      <c r="EN136" s="174"/>
      <c r="EO136" s="174"/>
      <c r="EP136" s="174"/>
      <c r="EQ136" s="174"/>
      <c r="ER136" s="174"/>
      <c r="ES136" s="174"/>
      <c r="ET136" s="174"/>
      <c r="EU136" s="174"/>
      <c r="EV136" s="174"/>
      <c r="EW136" s="174"/>
      <c r="EX136" s="174"/>
      <c r="EY136" s="174"/>
      <c r="EZ136" s="174"/>
      <c r="FA136" s="174"/>
      <c r="FB136" s="174"/>
      <c r="FC136" s="174"/>
      <c r="FD136" s="174"/>
      <c r="FE136" s="174"/>
      <c r="FF136" s="174"/>
      <c r="FG136" s="174"/>
      <c r="FH136" s="174"/>
      <c r="FI136" s="174"/>
      <c r="FJ136" s="174"/>
      <c r="FK136" s="174"/>
      <c r="FL136" s="174"/>
      <c r="FM136" s="174"/>
      <c r="FN136" s="174"/>
      <c r="FO136" s="174"/>
      <c r="FP136" s="174"/>
      <c r="FQ136" s="174"/>
      <c r="FR136" s="174"/>
      <c r="FS136" s="174"/>
      <c r="FT136" s="174"/>
      <c r="FU136" s="174"/>
      <c r="FV136" s="174"/>
      <c r="FW136" s="174"/>
      <c r="FX136" s="174"/>
      <c r="FY136" s="174"/>
      <c r="FZ136" s="174"/>
      <c r="GA136" s="174"/>
      <c r="GB136" s="174"/>
      <c r="GC136" s="174"/>
      <c r="GD136" s="174"/>
      <c r="GE136" s="174"/>
      <c r="GF136" s="174"/>
      <c r="GG136" s="174"/>
      <c r="GH136" s="174"/>
      <c r="GI136" s="174"/>
      <c r="GJ136" s="174"/>
      <c r="GK136" s="174"/>
      <c r="GL136" s="174"/>
      <c r="GM136" s="174"/>
      <c r="GN136" s="174"/>
      <c r="GO136" s="174"/>
      <c r="GP136" s="174"/>
      <c r="GQ136" s="174"/>
      <c r="GR136" s="174"/>
      <c r="GS136" s="174"/>
      <c r="GT136" s="174"/>
      <c r="GU136" s="174"/>
      <c r="GV136" s="174"/>
      <c r="GW136" s="174"/>
      <c r="GX136" s="174"/>
      <c r="GY136" s="174"/>
      <c r="GZ136" s="174"/>
      <c r="HA136" s="174"/>
      <c r="HB136" s="174"/>
      <c r="HC136" s="174"/>
      <c r="HD136" s="174"/>
      <c r="HE136" s="174"/>
      <c r="HF136" s="174"/>
      <c r="HG136" s="174"/>
      <c r="HH136" s="174"/>
      <c r="HI136" s="174"/>
      <c r="HJ136" s="174"/>
      <c r="HK136" s="174"/>
      <c r="HL136" s="174"/>
      <c r="HM136" s="174"/>
      <c r="HN136" s="174"/>
      <c r="HO136" s="174"/>
      <c r="HP136" s="174"/>
      <c r="HQ136" s="174"/>
      <c r="HR136" s="174"/>
      <c r="HS136" s="174"/>
      <c r="HT136" s="174"/>
      <c r="HU136" s="174"/>
      <c r="HV136" s="174"/>
      <c r="HW136" s="174"/>
      <c r="HX136" s="174"/>
      <c r="HY136" s="174"/>
      <c r="HZ136" s="174"/>
      <c r="IA136" s="174"/>
      <c r="IB136" s="174"/>
      <c r="IC136" s="174"/>
      <c r="ID136" s="174"/>
      <c r="IE136" s="174"/>
      <c r="IF136" s="174"/>
      <c r="IG136" s="174"/>
      <c r="IH136" s="174"/>
      <c r="II136" s="174"/>
      <c r="IJ136" s="174"/>
      <c r="IK136" s="174"/>
      <c r="IL136" s="174"/>
      <c r="IM136" s="174"/>
      <c r="IN136" s="174"/>
      <c r="IO136" s="174"/>
      <c r="IP136" s="174"/>
      <c r="IQ136" s="174"/>
      <c r="IR136" s="174"/>
      <c r="IS136" s="174"/>
      <c r="IT136" s="174"/>
      <c r="IU136" s="174"/>
      <c r="IV136" s="174"/>
    </row>
    <row r="137" spans="1:256" s="175" customFormat="1" x14ac:dyDescent="0.35">
      <c r="A137" s="176">
        <v>10300145</v>
      </c>
      <c r="B137" s="177" t="s">
        <v>343</v>
      </c>
      <c r="C137" s="177" t="s">
        <v>344</v>
      </c>
      <c r="D137" s="178">
        <v>45378</v>
      </c>
      <c r="E137" s="177">
        <v>0</v>
      </c>
      <c r="F137" s="177">
        <v>0</v>
      </c>
      <c r="G137" s="177">
        <v>0</v>
      </c>
      <c r="H137" s="178">
        <v>45378</v>
      </c>
      <c r="I137" s="178">
        <v>-36313</v>
      </c>
      <c r="J137" s="177">
        <v>0</v>
      </c>
      <c r="K137" s="177">
        <v>-907</v>
      </c>
      <c r="L137" s="178">
        <v>-37220</v>
      </c>
      <c r="M137" s="178">
        <v>8158</v>
      </c>
      <c r="N137" s="180">
        <v>9065</v>
      </c>
      <c r="O137" s="203">
        <v>533000</v>
      </c>
      <c r="P137" s="203">
        <v>415207</v>
      </c>
      <c r="Q137" s="196">
        <v>117793</v>
      </c>
      <c r="R137" s="174"/>
      <c r="S137" s="174"/>
      <c r="T137" s="174"/>
      <c r="U137" s="174"/>
      <c r="V137" s="174"/>
      <c r="W137" s="174"/>
      <c r="X137" s="174"/>
      <c r="Y137" s="174"/>
      <c r="Z137" s="174"/>
      <c r="AA137" s="174"/>
      <c r="AB137" s="174"/>
      <c r="AC137" s="174"/>
      <c r="AD137" s="174"/>
      <c r="AE137" s="174"/>
      <c r="AF137" s="174"/>
      <c r="AG137" s="174"/>
      <c r="AH137" s="174"/>
      <c r="AI137" s="174"/>
      <c r="AJ137" s="174"/>
      <c r="AK137" s="174"/>
      <c r="AL137" s="174"/>
      <c r="AM137" s="174"/>
      <c r="AN137" s="174"/>
      <c r="AO137" s="174"/>
      <c r="AP137" s="174"/>
      <c r="AQ137" s="174"/>
      <c r="AR137" s="174"/>
      <c r="AS137" s="174"/>
      <c r="AT137" s="174"/>
      <c r="AU137" s="174"/>
      <c r="AV137" s="174"/>
      <c r="AW137" s="174"/>
      <c r="AX137" s="174"/>
      <c r="AY137" s="174"/>
      <c r="AZ137" s="174"/>
      <c r="BA137" s="174"/>
      <c r="BB137" s="174"/>
      <c r="BC137" s="174"/>
      <c r="BD137" s="174"/>
      <c r="BE137" s="174"/>
      <c r="BF137" s="174"/>
      <c r="BG137" s="174"/>
      <c r="BH137" s="174"/>
      <c r="BI137" s="174"/>
      <c r="BJ137" s="174"/>
      <c r="BK137" s="174"/>
      <c r="BL137" s="174"/>
      <c r="BM137" s="174"/>
      <c r="BN137" s="174"/>
      <c r="BO137" s="174"/>
      <c r="BP137" s="174"/>
      <c r="BQ137" s="174"/>
      <c r="BR137" s="174"/>
      <c r="BS137" s="174"/>
      <c r="BT137" s="174"/>
      <c r="BU137" s="174"/>
      <c r="BV137" s="174"/>
      <c r="BW137" s="174"/>
      <c r="BX137" s="174"/>
      <c r="BY137" s="174"/>
      <c r="BZ137" s="174"/>
      <c r="CA137" s="174"/>
      <c r="CB137" s="174"/>
      <c r="CC137" s="174"/>
      <c r="CD137" s="174"/>
      <c r="CE137" s="174"/>
      <c r="CF137" s="174"/>
      <c r="CG137" s="174"/>
      <c r="CH137" s="174"/>
      <c r="CI137" s="174"/>
      <c r="CJ137" s="174"/>
      <c r="CK137" s="174"/>
      <c r="CL137" s="174"/>
      <c r="CM137" s="174"/>
      <c r="CN137" s="174"/>
      <c r="CO137" s="174"/>
      <c r="CP137" s="174"/>
      <c r="CQ137" s="174"/>
      <c r="CR137" s="174"/>
      <c r="CS137" s="174"/>
      <c r="CT137" s="174"/>
      <c r="CU137" s="174"/>
      <c r="CV137" s="174"/>
      <c r="CW137" s="174"/>
      <c r="CX137" s="174"/>
      <c r="CY137" s="174"/>
      <c r="CZ137" s="174"/>
      <c r="DA137" s="174"/>
      <c r="DB137" s="174"/>
      <c r="DC137" s="174"/>
      <c r="DD137" s="174"/>
      <c r="DE137" s="174"/>
      <c r="DF137" s="174"/>
      <c r="DG137" s="174"/>
      <c r="DH137" s="174"/>
      <c r="DI137" s="174"/>
      <c r="DJ137" s="174"/>
      <c r="DK137" s="174"/>
      <c r="DL137" s="174"/>
      <c r="DM137" s="174"/>
      <c r="DN137" s="174"/>
      <c r="DO137" s="174"/>
      <c r="DP137" s="174"/>
      <c r="DQ137" s="174"/>
      <c r="DR137" s="174"/>
      <c r="DS137" s="174"/>
      <c r="DT137" s="174"/>
      <c r="DU137" s="174"/>
      <c r="DV137" s="174"/>
      <c r="DW137" s="174"/>
      <c r="DX137" s="174"/>
      <c r="DY137" s="174"/>
      <c r="DZ137" s="174"/>
      <c r="EA137" s="174"/>
      <c r="EB137" s="174"/>
      <c r="EC137" s="174"/>
      <c r="ED137" s="174"/>
      <c r="EE137" s="174"/>
      <c r="EF137" s="174"/>
      <c r="EG137" s="174"/>
      <c r="EH137" s="174"/>
      <c r="EI137" s="174"/>
      <c r="EJ137" s="174"/>
      <c r="EK137" s="174"/>
      <c r="EL137" s="174"/>
      <c r="EM137" s="174"/>
      <c r="EN137" s="174"/>
      <c r="EO137" s="174"/>
      <c r="EP137" s="174"/>
      <c r="EQ137" s="174"/>
      <c r="ER137" s="174"/>
      <c r="ES137" s="174"/>
      <c r="ET137" s="174"/>
      <c r="EU137" s="174"/>
      <c r="EV137" s="174"/>
      <c r="EW137" s="174"/>
      <c r="EX137" s="174"/>
      <c r="EY137" s="174"/>
      <c r="EZ137" s="174"/>
      <c r="FA137" s="174"/>
      <c r="FB137" s="174"/>
      <c r="FC137" s="174"/>
      <c r="FD137" s="174"/>
      <c r="FE137" s="174"/>
      <c r="FF137" s="174"/>
      <c r="FG137" s="174"/>
      <c r="FH137" s="174"/>
      <c r="FI137" s="174"/>
      <c r="FJ137" s="174"/>
      <c r="FK137" s="174"/>
      <c r="FL137" s="174"/>
      <c r="FM137" s="174"/>
      <c r="FN137" s="174"/>
      <c r="FO137" s="174"/>
      <c r="FP137" s="174"/>
      <c r="FQ137" s="174"/>
      <c r="FR137" s="174"/>
      <c r="FS137" s="174"/>
      <c r="FT137" s="174"/>
      <c r="FU137" s="174"/>
      <c r="FV137" s="174"/>
      <c r="FW137" s="174"/>
      <c r="FX137" s="174"/>
      <c r="FY137" s="174"/>
      <c r="FZ137" s="174"/>
      <c r="GA137" s="174"/>
      <c r="GB137" s="174"/>
      <c r="GC137" s="174"/>
      <c r="GD137" s="174"/>
      <c r="GE137" s="174"/>
      <c r="GF137" s="174"/>
      <c r="GG137" s="174"/>
      <c r="GH137" s="174"/>
      <c r="GI137" s="174"/>
      <c r="GJ137" s="174"/>
      <c r="GK137" s="174"/>
      <c r="GL137" s="174"/>
      <c r="GM137" s="174"/>
      <c r="GN137" s="174"/>
      <c r="GO137" s="174"/>
      <c r="GP137" s="174"/>
      <c r="GQ137" s="174"/>
      <c r="GR137" s="174"/>
      <c r="GS137" s="174"/>
      <c r="GT137" s="174"/>
      <c r="GU137" s="174"/>
      <c r="GV137" s="174"/>
      <c r="GW137" s="174"/>
      <c r="GX137" s="174"/>
      <c r="GY137" s="174"/>
      <c r="GZ137" s="174"/>
      <c r="HA137" s="174"/>
      <c r="HB137" s="174"/>
      <c r="HC137" s="174"/>
      <c r="HD137" s="174"/>
      <c r="HE137" s="174"/>
      <c r="HF137" s="174"/>
      <c r="HG137" s="174"/>
      <c r="HH137" s="174"/>
      <c r="HI137" s="174"/>
      <c r="HJ137" s="174"/>
      <c r="HK137" s="174"/>
      <c r="HL137" s="174"/>
      <c r="HM137" s="174"/>
      <c r="HN137" s="174"/>
      <c r="HO137" s="174"/>
      <c r="HP137" s="174"/>
      <c r="HQ137" s="174"/>
      <c r="HR137" s="174"/>
      <c r="HS137" s="174"/>
      <c r="HT137" s="174"/>
      <c r="HU137" s="174"/>
      <c r="HV137" s="174"/>
      <c r="HW137" s="174"/>
      <c r="HX137" s="174"/>
      <c r="HY137" s="174"/>
      <c r="HZ137" s="174"/>
      <c r="IA137" s="174"/>
      <c r="IB137" s="174"/>
      <c r="IC137" s="174"/>
      <c r="ID137" s="174"/>
      <c r="IE137" s="174"/>
      <c r="IF137" s="174"/>
      <c r="IG137" s="174"/>
      <c r="IH137" s="174"/>
      <c r="II137" s="174"/>
      <c r="IJ137" s="174"/>
      <c r="IK137" s="174"/>
      <c r="IL137" s="174"/>
      <c r="IM137" s="174"/>
      <c r="IN137" s="174"/>
      <c r="IO137" s="174"/>
      <c r="IP137" s="174"/>
      <c r="IQ137" s="174"/>
      <c r="IR137" s="174"/>
      <c r="IS137" s="174"/>
      <c r="IT137" s="174"/>
      <c r="IU137" s="174"/>
      <c r="IV137" s="174"/>
    </row>
    <row r="138" spans="1:256" s="175" customFormat="1" x14ac:dyDescent="0.35">
      <c r="A138" s="176">
        <v>10300158</v>
      </c>
      <c r="B138" s="177" t="s">
        <v>345</v>
      </c>
      <c r="C138" s="177" t="s">
        <v>279</v>
      </c>
      <c r="D138" s="178">
        <v>14091</v>
      </c>
      <c r="E138" s="177">
        <v>0</v>
      </c>
      <c r="F138" s="177">
        <v>0</v>
      </c>
      <c r="G138" s="177">
        <v>0</v>
      </c>
      <c r="H138" s="178">
        <v>14091</v>
      </c>
      <c r="I138" s="178">
        <v>-14090</v>
      </c>
      <c r="J138" s="177">
        <v>0</v>
      </c>
      <c r="K138" s="177">
        <v>0</v>
      </c>
      <c r="L138" s="178">
        <v>-14090</v>
      </c>
      <c r="M138" s="177">
        <v>1</v>
      </c>
      <c r="N138" s="179">
        <v>1</v>
      </c>
      <c r="O138" s="203">
        <v>1000</v>
      </c>
      <c r="P138" s="203">
        <v>0</v>
      </c>
      <c r="Q138" s="196">
        <v>1000</v>
      </c>
      <c r="R138" s="174"/>
      <c r="S138" s="174"/>
      <c r="T138" s="174"/>
      <c r="U138" s="174"/>
      <c r="V138" s="174"/>
      <c r="W138" s="174"/>
      <c r="X138" s="174"/>
      <c r="Y138" s="174"/>
      <c r="Z138" s="174"/>
      <c r="AA138" s="174"/>
      <c r="AB138" s="174"/>
      <c r="AC138" s="174"/>
      <c r="AD138" s="174"/>
      <c r="AE138" s="174"/>
      <c r="AF138" s="174"/>
      <c r="AG138" s="174"/>
      <c r="AH138" s="174"/>
      <c r="AI138" s="174"/>
      <c r="AJ138" s="174"/>
      <c r="AK138" s="174"/>
      <c r="AL138" s="174"/>
      <c r="AM138" s="174"/>
      <c r="AN138" s="174"/>
      <c r="AO138" s="174"/>
      <c r="AP138" s="174"/>
      <c r="AQ138" s="174"/>
      <c r="AR138" s="174"/>
      <c r="AS138" s="174"/>
      <c r="AT138" s="174"/>
      <c r="AU138" s="174"/>
      <c r="AV138" s="174"/>
      <c r="AW138" s="174"/>
      <c r="AX138" s="174"/>
      <c r="AY138" s="174"/>
      <c r="AZ138" s="174"/>
      <c r="BA138" s="174"/>
      <c r="BB138" s="174"/>
      <c r="BC138" s="174"/>
      <c r="BD138" s="174"/>
      <c r="BE138" s="174"/>
      <c r="BF138" s="174"/>
      <c r="BG138" s="174"/>
      <c r="BH138" s="174"/>
      <c r="BI138" s="174"/>
      <c r="BJ138" s="174"/>
      <c r="BK138" s="174"/>
      <c r="BL138" s="174"/>
      <c r="BM138" s="174"/>
      <c r="BN138" s="174"/>
      <c r="BO138" s="174"/>
      <c r="BP138" s="174"/>
      <c r="BQ138" s="174"/>
      <c r="BR138" s="174"/>
      <c r="BS138" s="174"/>
      <c r="BT138" s="174"/>
      <c r="BU138" s="174"/>
      <c r="BV138" s="174"/>
      <c r="BW138" s="174"/>
      <c r="BX138" s="174"/>
      <c r="BY138" s="174"/>
      <c r="BZ138" s="174"/>
      <c r="CA138" s="174"/>
      <c r="CB138" s="174"/>
      <c r="CC138" s="174"/>
      <c r="CD138" s="174"/>
      <c r="CE138" s="174"/>
      <c r="CF138" s="174"/>
      <c r="CG138" s="174"/>
      <c r="CH138" s="174"/>
      <c r="CI138" s="174"/>
      <c r="CJ138" s="174"/>
      <c r="CK138" s="174"/>
      <c r="CL138" s="174"/>
      <c r="CM138" s="174"/>
      <c r="CN138" s="174"/>
      <c r="CO138" s="174"/>
      <c r="CP138" s="174"/>
      <c r="CQ138" s="174"/>
      <c r="CR138" s="174"/>
      <c r="CS138" s="174"/>
      <c r="CT138" s="174"/>
      <c r="CU138" s="174"/>
      <c r="CV138" s="174"/>
      <c r="CW138" s="174"/>
      <c r="CX138" s="174"/>
      <c r="CY138" s="174"/>
      <c r="CZ138" s="174"/>
      <c r="DA138" s="174"/>
      <c r="DB138" s="174"/>
      <c r="DC138" s="174"/>
      <c r="DD138" s="174"/>
      <c r="DE138" s="174"/>
      <c r="DF138" s="174"/>
      <c r="DG138" s="174"/>
      <c r="DH138" s="174"/>
      <c r="DI138" s="174"/>
      <c r="DJ138" s="174"/>
      <c r="DK138" s="174"/>
      <c r="DL138" s="174"/>
      <c r="DM138" s="174"/>
      <c r="DN138" s="174"/>
      <c r="DO138" s="174"/>
      <c r="DP138" s="174"/>
      <c r="DQ138" s="174"/>
      <c r="DR138" s="174"/>
      <c r="DS138" s="174"/>
      <c r="DT138" s="174"/>
      <c r="DU138" s="174"/>
      <c r="DV138" s="174"/>
      <c r="DW138" s="174"/>
      <c r="DX138" s="174"/>
      <c r="DY138" s="174"/>
      <c r="DZ138" s="174"/>
      <c r="EA138" s="174"/>
      <c r="EB138" s="174"/>
      <c r="EC138" s="174"/>
      <c r="ED138" s="174"/>
      <c r="EE138" s="174"/>
      <c r="EF138" s="174"/>
      <c r="EG138" s="174"/>
      <c r="EH138" s="174"/>
      <c r="EI138" s="174"/>
      <c r="EJ138" s="174"/>
      <c r="EK138" s="174"/>
      <c r="EL138" s="174"/>
      <c r="EM138" s="174"/>
      <c r="EN138" s="174"/>
      <c r="EO138" s="174"/>
      <c r="EP138" s="174"/>
      <c r="EQ138" s="174"/>
      <c r="ER138" s="174"/>
      <c r="ES138" s="174"/>
      <c r="ET138" s="174"/>
      <c r="EU138" s="174"/>
      <c r="EV138" s="174"/>
      <c r="EW138" s="174"/>
      <c r="EX138" s="174"/>
      <c r="EY138" s="174"/>
      <c r="EZ138" s="174"/>
      <c r="FA138" s="174"/>
      <c r="FB138" s="174"/>
      <c r="FC138" s="174"/>
      <c r="FD138" s="174"/>
      <c r="FE138" s="174"/>
      <c r="FF138" s="174"/>
      <c r="FG138" s="174"/>
      <c r="FH138" s="174"/>
      <c r="FI138" s="174"/>
      <c r="FJ138" s="174"/>
      <c r="FK138" s="174"/>
      <c r="FL138" s="174"/>
      <c r="FM138" s="174"/>
      <c r="FN138" s="174"/>
      <c r="FO138" s="174"/>
      <c r="FP138" s="174"/>
      <c r="FQ138" s="174"/>
      <c r="FR138" s="174"/>
      <c r="FS138" s="174"/>
      <c r="FT138" s="174"/>
      <c r="FU138" s="174"/>
      <c r="FV138" s="174"/>
      <c r="FW138" s="174"/>
      <c r="FX138" s="174"/>
      <c r="FY138" s="174"/>
      <c r="FZ138" s="174"/>
      <c r="GA138" s="174"/>
      <c r="GB138" s="174"/>
      <c r="GC138" s="174"/>
      <c r="GD138" s="174"/>
      <c r="GE138" s="174"/>
      <c r="GF138" s="174"/>
      <c r="GG138" s="174"/>
      <c r="GH138" s="174"/>
      <c r="GI138" s="174"/>
      <c r="GJ138" s="174"/>
      <c r="GK138" s="174"/>
      <c r="GL138" s="174"/>
      <c r="GM138" s="174"/>
      <c r="GN138" s="174"/>
      <c r="GO138" s="174"/>
      <c r="GP138" s="174"/>
      <c r="GQ138" s="174"/>
      <c r="GR138" s="174"/>
      <c r="GS138" s="174"/>
      <c r="GT138" s="174"/>
      <c r="GU138" s="174"/>
      <c r="GV138" s="174"/>
      <c r="GW138" s="174"/>
      <c r="GX138" s="174"/>
      <c r="GY138" s="174"/>
      <c r="GZ138" s="174"/>
      <c r="HA138" s="174"/>
      <c r="HB138" s="174"/>
      <c r="HC138" s="174"/>
      <c r="HD138" s="174"/>
      <c r="HE138" s="174"/>
      <c r="HF138" s="174"/>
      <c r="HG138" s="174"/>
      <c r="HH138" s="174"/>
      <c r="HI138" s="174"/>
      <c r="HJ138" s="174"/>
      <c r="HK138" s="174"/>
      <c r="HL138" s="174"/>
      <c r="HM138" s="174"/>
      <c r="HN138" s="174"/>
      <c r="HO138" s="174"/>
      <c r="HP138" s="174"/>
      <c r="HQ138" s="174"/>
      <c r="HR138" s="174"/>
      <c r="HS138" s="174"/>
      <c r="HT138" s="174"/>
      <c r="HU138" s="174"/>
      <c r="HV138" s="174"/>
      <c r="HW138" s="174"/>
      <c r="HX138" s="174"/>
      <c r="HY138" s="174"/>
      <c r="HZ138" s="174"/>
      <c r="IA138" s="174"/>
      <c r="IB138" s="174"/>
      <c r="IC138" s="174"/>
      <c r="ID138" s="174"/>
      <c r="IE138" s="174"/>
      <c r="IF138" s="174"/>
      <c r="IG138" s="174"/>
      <c r="IH138" s="174"/>
      <c r="II138" s="174"/>
      <c r="IJ138" s="174"/>
      <c r="IK138" s="174"/>
      <c r="IL138" s="174"/>
      <c r="IM138" s="174"/>
      <c r="IN138" s="174"/>
      <c r="IO138" s="174"/>
      <c r="IP138" s="174"/>
      <c r="IQ138" s="174"/>
      <c r="IR138" s="174"/>
      <c r="IS138" s="174"/>
      <c r="IT138" s="174"/>
      <c r="IU138" s="174"/>
      <c r="IV138" s="174"/>
    </row>
    <row r="139" spans="1:256" s="175" customFormat="1" x14ac:dyDescent="0.35">
      <c r="A139" s="176">
        <v>10300298</v>
      </c>
      <c r="B139" s="177" t="s">
        <v>346</v>
      </c>
      <c r="C139" s="177" t="s">
        <v>347</v>
      </c>
      <c r="D139" s="178">
        <v>38961</v>
      </c>
      <c r="E139" s="177">
        <v>0</v>
      </c>
      <c r="F139" s="177">
        <v>0</v>
      </c>
      <c r="G139" s="177">
        <v>0</v>
      </c>
      <c r="H139" s="178">
        <v>38961</v>
      </c>
      <c r="I139" s="178">
        <v>-31184</v>
      </c>
      <c r="J139" s="177">
        <v>0</v>
      </c>
      <c r="K139" s="177">
        <v>-974</v>
      </c>
      <c r="L139" s="178">
        <v>-32158</v>
      </c>
      <c r="M139" s="178">
        <v>6803</v>
      </c>
      <c r="N139" s="180">
        <v>7777</v>
      </c>
      <c r="O139" s="203">
        <v>327000</v>
      </c>
      <c r="P139" s="203">
        <v>205029</v>
      </c>
      <c r="Q139" s="196">
        <v>121971</v>
      </c>
      <c r="R139" s="174"/>
      <c r="S139" s="174"/>
      <c r="T139" s="174"/>
      <c r="U139" s="174"/>
      <c r="V139" s="174"/>
      <c r="W139" s="174"/>
      <c r="X139" s="174"/>
      <c r="Y139" s="174"/>
      <c r="Z139" s="174"/>
      <c r="AA139" s="174"/>
      <c r="AB139" s="174"/>
      <c r="AC139" s="174"/>
      <c r="AD139" s="174"/>
      <c r="AE139" s="174"/>
      <c r="AF139" s="174"/>
      <c r="AG139" s="174"/>
      <c r="AH139" s="174"/>
      <c r="AI139" s="174"/>
      <c r="AJ139" s="174"/>
      <c r="AK139" s="174"/>
      <c r="AL139" s="174"/>
      <c r="AM139" s="174"/>
      <c r="AN139" s="174"/>
      <c r="AO139" s="174"/>
      <c r="AP139" s="174"/>
      <c r="AQ139" s="174"/>
      <c r="AR139" s="174"/>
      <c r="AS139" s="174"/>
      <c r="AT139" s="174"/>
      <c r="AU139" s="174"/>
      <c r="AV139" s="174"/>
      <c r="AW139" s="174"/>
      <c r="AX139" s="174"/>
      <c r="AY139" s="174"/>
      <c r="AZ139" s="174"/>
      <c r="BA139" s="174"/>
      <c r="BB139" s="174"/>
      <c r="BC139" s="174"/>
      <c r="BD139" s="174"/>
      <c r="BE139" s="174"/>
      <c r="BF139" s="174"/>
      <c r="BG139" s="174"/>
      <c r="BH139" s="174"/>
      <c r="BI139" s="174"/>
      <c r="BJ139" s="174"/>
      <c r="BK139" s="174"/>
      <c r="BL139" s="174"/>
      <c r="BM139" s="174"/>
      <c r="BN139" s="174"/>
      <c r="BO139" s="174"/>
      <c r="BP139" s="174"/>
      <c r="BQ139" s="174"/>
      <c r="BR139" s="174"/>
      <c r="BS139" s="174"/>
      <c r="BT139" s="174"/>
      <c r="BU139" s="174"/>
      <c r="BV139" s="174"/>
      <c r="BW139" s="174"/>
      <c r="BX139" s="174"/>
      <c r="BY139" s="174"/>
      <c r="BZ139" s="174"/>
      <c r="CA139" s="174"/>
      <c r="CB139" s="174"/>
      <c r="CC139" s="174"/>
      <c r="CD139" s="174"/>
      <c r="CE139" s="174"/>
      <c r="CF139" s="174"/>
      <c r="CG139" s="174"/>
      <c r="CH139" s="174"/>
      <c r="CI139" s="174"/>
      <c r="CJ139" s="174"/>
      <c r="CK139" s="174"/>
      <c r="CL139" s="174"/>
      <c r="CM139" s="174"/>
      <c r="CN139" s="174"/>
      <c r="CO139" s="174"/>
      <c r="CP139" s="174"/>
      <c r="CQ139" s="174"/>
      <c r="CR139" s="174"/>
      <c r="CS139" s="174"/>
      <c r="CT139" s="174"/>
      <c r="CU139" s="174"/>
      <c r="CV139" s="174"/>
      <c r="CW139" s="174"/>
      <c r="CX139" s="174"/>
      <c r="CY139" s="174"/>
      <c r="CZ139" s="174"/>
      <c r="DA139" s="174"/>
      <c r="DB139" s="174"/>
      <c r="DC139" s="174"/>
      <c r="DD139" s="174"/>
      <c r="DE139" s="174"/>
      <c r="DF139" s="174"/>
      <c r="DG139" s="174"/>
      <c r="DH139" s="174"/>
      <c r="DI139" s="174"/>
      <c r="DJ139" s="174"/>
      <c r="DK139" s="174"/>
      <c r="DL139" s="174"/>
      <c r="DM139" s="174"/>
      <c r="DN139" s="174"/>
      <c r="DO139" s="174"/>
      <c r="DP139" s="174"/>
      <c r="DQ139" s="174"/>
      <c r="DR139" s="174"/>
      <c r="DS139" s="174"/>
      <c r="DT139" s="174"/>
      <c r="DU139" s="174"/>
      <c r="DV139" s="174"/>
      <c r="DW139" s="174"/>
      <c r="DX139" s="174"/>
      <c r="DY139" s="174"/>
      <c r="DZ139" s="174"/>
      <c r="EA139" s="174"/>
      <c r="EB139" s="174"/>
      <c r="EC139" s="174"/>
      <c r="ED139" s="174"/>
      <c r="EE139" s="174"/>
      <c r="EF139" s="174"/>
      <c r="EG139" s="174"/>
      <c r="EH139" s="174"/>
      <c r="EI139" s="174"/>
      <c r="EJ139" s="174"/>
      <c r="EK139" s="174"/>
      <c r="EL139" s="174"/>
      <c r="EM139" s="174"/>
      <c r="EN139" s="174"/>
      <c r="EO139" s="174"/>
      <c r="EP139" s="174"/>
      <c r="EQ139" s="174"/>
      <c r="ER139" s="174"/>
      <c r="ES139" s="174"/>
      <c r="ET139" s="174"/>
      <c r="EU139" s="174"/>
      <c r="EV139" s="174"/>
      <c r="EW139" s="174"/>
      <c r="EX139" s="174"/>
      <c r="EY139" s="174"/>
      <c r="EZ139" s="174"/>
      <c r="FA139" s="174"/>
      <c r="FB139" s="174"/>
      <c r="FC139" s="174"/>
      <c r="FD139" s="174"/>
      <c r="FE139" s="174"/>
      <c r="FF139" s="174"/>
      <c r="FG139" s="174"/>
      <c r="FH139" s="174"/>
      <c r="FI139" s="174"/>
      <c r="FJ139" s="174"/>
      <c r="FK139" s="174"/>
      <c r="FL139" s="174"/>
      <c r="FM139" s="174"/>
      <c r="FN139" s="174"/>
      <c r="FO139" s="174"/>
      <c r="FP139" s="174"/>
      <c r="FQ139" s="174"/>
      <c r="FR139" s="174"/>
      <c r="FS139" s="174"/>
      <c r="FT139" s="174"/>
      <c r="FU139" s="174"/>
      <c r="FV139" s="174"/>
      <c r="FW139" s="174"/>
      <c r="FX139" s="174"/>
      <c r="FY139" s="174"/>
      <c r="FZ139" s="174"/>
      <c r="GA139" s="174"/>
      <c r="GB139" s="174"/>
      <c r="GC139" s="174"/>
      <c r="GD139" s="174"/>
      <c r="GE139" s="174"/>
      <c r="GF139" s="174"/>
      <c r="GG139" s="174"/>
      <c r="GH139" s="174"/>
      <c r="GI139" s="174"/>
      <c r="GJ139" s="174"/>
      <c r="GK139" s="174"/>
      <c r="GL139" s="174"/>
      <c r="GM139" s="174"/>
      <c r="GN139" s="174"/>
      <c r="GO139" s="174"/>
      <c r="GP139" s="174"/>
      <c r="GQ139" s="174"/>
      <c r="GR139" s="174"/>
      <c r="GS139" s="174"/>
      <c r="GT139" s="174"/>
      <c r="GU139" s="174"/>
      <c r="GV139" s="174"/>
      <c r="GW139" s="174"/>
      <c r="GX139" s="174"/>
      <c r="GY139" s="174"/>
      <c r="GZ139" s="174"/>
      <c r="HA139" s="174"/>
      <c r="HB139" s="174"/>
      <c r="HC139" s="174"/>
      <c r="HD139" s="174"/>
      <c r="HE139" s="174"/>
      <c r="HF139" s="174"/>
      <c r="HG139" s="174"/>
      <c r="HH139" s="174"/>
      <c r="HI139" s="174"/>
      <c r="HJ139" s="174"/>
      <c r="HK139" s="174"/>
      <c r="HL139" s="174"/>
      <c r="HM139" s="174"/>
      <c r="HN139" s="174"/>
      <c r="HO139" s="174"/>
      <c r="HP139" s="174"/>
      <c r="HQ139" s="174"/>
      <c r="HR139" s="174"/>
      <c r="HS139" s="174"/>
      <c r="HT139" s="174"/>
      <c r="HU139" s="174"/>
      <c r="HV139" s="174"/>
      <c r="HW139" s="174"/>
      <c r="HX139" s="174"/>
      <c r="HY139" s="174"/>
      <c r="HZ139" s="174"/>
      <c r="IA139" s="174"/>
      <c r="IB139" s="174"/>
      <c r="IC139" s="174"/>
      <c r="ID139" s="174"/>
      <c r="IE139" s="174"/>
      <c r="IF139" s="174"/>
      <c r="IG139" s="174"/>
      <c r="IH139" s="174"/>
      <c r="II139" s="174"/>
      <c r="IJ139" s="174"/>
      <c r="IK139" s="174"/>
      <c r="IL139" s="174"/>
      <c r="IM139" s="174"/>
      <c r="IN139" s="174"/>
      <c r="IO139" s="174"/>
      <c r="IP139" s="174"/>
      <c r="IQ139" s="174"/>
      <c r="IR139" s="174"/>
      <c r="IS139" s="174"/>
      <c r="IT139" s="174"/>
      <c r="IU139" s="174"/>
      <c r="IV139" s="174"/>
    </row>
    <row r="140" spans="1:256" s="175" customFormat="1" x14ac:dyDescent="0.35">
      <c r="A140" s="176">
        <v>10300298</v>
      </c>
      <c r="B140" s="177" t="s">
        <v>348</v>
      </c>
      <c r="C140" s="177" t="s">
        <v>349</v>
      </c>
      <c r="D140" s="178">
        <v>2451184.81</v>
      </c>
      <c r="E140" s="177">
        <v>0</v>
      </c>
      <c r="F140" s="177">
        <v>0</v>
      </c>
      <c r="G140" s="177">
        <v>0</v>
      </c>
      <c r="H140" s="178">
        <v>2451184.81</v>
      </c>
      <c r="I140" s="178">
        <v>-559656</v>
      </c>
      <c r="J140" s="177">
        <v>0</v>
      </c>
      <c r="K140" s="178">
        <v>-213155</v>
      </c>
      <c r="L140" s="178">
        <v>-772811</v>
      </c>
      <c r="M140" s="178">
        <v>1678373.81</v>
      </c>
      <c r="N140" s="180">
        <v>1891528.81</v>
      </c>
      <c r="O140" s="203">
        <v>2702000</v>
      </c>
      <c r="P140" s="203">
        <v>205352</v>
      </c>
      <c r="Q140" s="196">
        <v>2496648</v>
      </c>
      <c r="R140" s="174"/>
      <c r="S140" s="174"/>
      <c r="T140" s="174"/>
      <c r="U140" s="174"/>
      <c r="V140" s="174"/>
      <c r="W140" s="174"/>
      <c r="X140" s="174"/>
      <c r="Y140" s="174"/>
      <c r="Z140" s="174"/>
      <c r="AA140" s="174"/>
      <c r="AB140" s="174"/>
      <c r="AC140" s="174"/>
      <c r="AD140" s="174"/>
      <c r="AE140" s="174"/>
      <c r="AF140" s="174"/>
      <c r="AG140" s="174"/>
      <c r="AH140" s="174"/>
      <c r="AI140" s="174"/>
      <c r="AJ140" s="174"/>
      <c r="AK140" s="174"/>
      <c r="AL140" s="174"/>
      <c r="AM140" s="174"/>
      <c r="AN140" s="174"/>
      <c r="AO140" s="174"/>
      <c r="AP140" s="174"/>
      <c r="AQ140" s="174"/>
      <c r="AR140" s="174"/>
      <c r="AS140" s="174"/>
      <c r="AT140" s="174"/>
      <c r="AU140" s="174"/>
      <c r="AV140" s="174"/>
      <c r="AW140" s="174"/>
      <c r="AX140" s="174"/>
      <c r="AY140" s="174"/>
      <c r="AZ140" s="174"/>
      <c r="BA140" s="174"/>
      <c r="BB140" s="174"/>
      <c r="BC140" s="174"/>
      <c r="BD140" s="174"/>
      <c r="BE140" s="174"/>
      <c r="BF140" s="174"/>
      <c r="BG140" s="174"/>
      <c r="BH140" s="174"/>
      <c r="BI140" s="174"/>
      <c r="BJ140" s="174"/>
      <c r="BK140" s="174"/>
      <c r="BL140" s="174"/>
      <c r="BM140" s="174"/>
      <c r="BN140" s="174"/>
      <c r="BO140" s="174"/>
      <c r="BP140" s="174"/>
      <c r="BQ140" s="174"/>
      <c r="BR140" s="174"/>
      <c r="BS140" s="174"/>
      <c r="BT140" s="174"/>
      <c r="BU140" s="174"/>
      <c r="BV140" s="174"/>
      <c r="BW140" s="174"/>
      <c r="BX140" s="174"/>
      <c r="BY140" s="174"/>
      <c r="BZ140" s="174"/>
      <c r="CA140" s="174"/>
      <c r="CB140" s="174"/>
      <c r="CC140" s="174"/>
      <c r="CD140" s="174"/>
      <c r="CE140" s="174"/>
      <c r="CF140" s="174"/>
      <c r="CG140" s="174"/>
      <c r="CH140" s="174"/>
      <c r="CI140" s="174"/>
      <c r="CJ140" s="174"/>
      <c r="CK140" s="174"/>
      <c r="CL140" s="174"/>
      <c r="CM140" s="174"/>
      <c r="CN140" s="174"/>
      <c r="CO140" s="174"/>
      <c r="CP140" s="174"/>
      <c r="CQ140" s="174"/>
      <c r="CR140" s="174"/>
      <c r="CS140" s="174"/>
      <c r="CT140" s="174"/>
      <c r="CU140" s="174"/>
      <c r="CV140" s="174"/>
      <c r="CW140" s="174"/>
      <c r="CX140" s="174"/>
      <c r="CY140" s="174"/>
      <c r="CZ140" s="174"/>
      <c r="DA140" s="174"/>
      <c r="DB140" s="174"/>
      <c r="DC140" s="174"/>
      <c r="DD140" s="174"/>
      <c r="DE140" s="174"/>
      <c r="DF140" s="174"/>
      <c r="DG140" s="174"/>
      <c r="DH140" s="174"/>
      <c r="DI140" s="174"/>
      <c r="DJ140" s="174"/>
      <c r="DK140" s="174"/>
      <c r="DL140" s="174"/>
      <c r="DM140" s="174"/>
      <c r="DN140" s="174"/>
      <c r="DO140" s="174"/>
      <c r="DP140" s="174"/>
      <c r="DQ140" s="174"/>
      <c r="DR140" s="174"/>
      <c r="DS140" s="174"/>
      <c r="DT140" s="174"/>
      <c r="DU140" s="174"/>
      <c r="DV140" s="174"/>
      <c r="DW140" s="174"/>
      <c r="DX140" s="174"/>
      <c r="DY140" s="174"/>
      <c r="DZ140" s="174"/>
      <c r="EA140" s="174"/>
      <c r="EB140" s="174"/>
      <c r="EC140" s="174"/>
      <c r="ED140" s="174"/>
      <c r="EE140" s="174"/>
      <c r="EF140" s="174"/>
      <c r="EG140" s="174"/>
      <c r="EH140" s="174"/>
      <c r="EI140" s="174"/>
      <c r="EJ140" s="174"/>
      <c r="EK140" s="174"/>
      <c r="EL140" s="174"/>
      <c r="EM140" s="174"/>
      <c r="EN140" s="174"/>
      <c r="EO140" s="174"/>
      <c r="EP140" s="174"/>
      <c r="EQ140" s="174"/>
      <c r="ER140" s="174"/>
      <c r="ES140" s="174"/>
      <c r="ET140" s="174"/>
      <c r="EU140" s="174"/>
      <c r="EV140" s="174"/>
      <c r="EW140" s="174"/>
      <c r="EX140" s="174"/>
      <c r="EY140" s="174"/>
      <c r="EZ140" s="174"/>
      <c r="FA140" s="174"/>
      <c r="FB140" s="174"/>
      <c r="FC140" s="174"/>
      <c r="FD140" s="174"/>
      <c r="FE140" s="174"/>
      <c r="FF140" s="174"/>
      <c r="FG140" s="174"/>
      <c r="FH140" s="174"/>
      <c r="FI140" s="174"/>
      <c r="FJ140" s="174"/>
      <c r="FK140" s="174"/>
      <c r="FL140" s="174"/>
      <c r="FM140" s="174"/>
      <c r="FN140" s="174"/>
      <c r="FO140" s="174"/>
      <c r="FP140" s="174"/>
      <c r="FQ140" s="174"/>
      <c r="FR140" s="174"/>
      <c r="FS140" s="174"/>
      <c r="FT140" s="174"/>
      <c r="FU140" s="174"/>
      <c r="FV140" s="174"/>
      <c r="FW140" s="174"/>
      <c r="FX140" s="174"/>
      <c r="FY140" s="174"/>
      <c r="FZ140" s="174"/>
      <c r="GA140" s="174"/>
      <c r="GB140" s="174"/>
      <c r="GC140" s="174"/>
      <c r="GD140" s="174"/>
      <c r="GE140" s="174"/>
      <c r="GF140" s="174"/>
      <c r="GG140" s="174"/>
      <c r="GH140" s="174"/>
      <c r="GI140" s="174"/>
      <c r="GJ140" s="174"/>
      <c r="GK140" s="174"/>
      <c r="GL140" s="174"/>
      <c r="GM140" s="174"/>
      <c r="GN140" s="174"/>
      <c r="GO140" s="174"/>
      <c r="GP140" s="174"/>
      <c r="GQ140" s="174"/>
      <c r="GR140" s="174"/>
      <c r="GS140" s="174"/>
      <c r="GT140" s="174"/>
      <c r="GU140" s="174"/>
      <c r="GV140" s="174"/>
      <c r="GW140" s="174"/>
      <c r="GX140" s="174"/>
      <c r="GY140" s="174"/>
      <c r="GZ140" s="174"/>
      <c r="HA140" s="174"/>
      <c r="HB140" s="174"/>
      <c r="HC140" s="174"/>
      <c r="HD140" s="174"/>
      <c r="HE140" s="174"/>
      <c r="HF140" s="174"/>
      <c r="HG140" s="174"/>
      <c r="HH140" s="174"/>
      <c r="HI140" s="174"/>
      <c r="HJ140" s="174"/>
      <c r="HK140" s="174"/>
      <c r="HL140" s="174"/>
      <c r="HM140" s="174"/>
      <c r="HN140" s="174"/>
      <c r="HO140" s="174"/>
      <c r="HP140" s="174"/>
      <c r="HQ140" s="174"/>
      <c r="HR140" s="174"/>
      <c r="HS140" s="174"/>
      <c r="HT140" s="174"/>
      <c r="HU140" s="174"/>
      <c r="HV140" s="174"/>
      <c r="HW140" s="174"/>
      <c r="HX140" s="174"/>
      <c r="HY140" s="174"/>
      <c r="HZ140" s="174"/>
      <c r="IA140" s="174"/>
      <c r="IB140" s="174"/>
      <c r="IC140" s="174"/>
      <c r="ID140" s="174"/>
      <c r="IE140" s="174"/>
      <c r="IF140" s="174"/>
      <c r="IG140" s="174"/>
      <c r="IH140" s="174"/>
      <c r="II140" s="174"/>
      <c r="IJ140" s="174"/>
      <c r="IK140" s="174"/>
      <c r="IL140" s="174"/>
      <c r="IM140" s="174"/>
      <c r="IN140" s="174"/>
      <c r="IO140" s="174"/>
      <c r="IP140" s="174"/>
      <c r="IQ140" s="174"/>
      <c r="IR140" s="174"/>
      <c r="IS140" s="174"/>
      <c r="IT140" s="174"/>
      <c r="IU140" s="174"/>
      <c r="IV140" s="174"/>
    </row>
    <row r="141" spans="1:256" s="99" customFormat="1" ht="15" thickBot="1" x14ac:dyDescent="0.4">
      <c r="A141" s="113"/>
      <c r="B141" s="114"/>
      <c r="C141" s="114"/>
      <c r="D141" s="121">
        <f>SUM(D136:D140)</f>
        <v>2561884.81</v>
      </c>
      <c r="E141" s="121">
        <f t="shared" ref="E141:Q141" si="12">SUM(E136:E140)</f>
        <v>0</v>
      </c>
      <c r="F141" s="121">
        <f t="shared" si="12"/>
        <v>0</v>
      </c>
      <c r="G141" s="121">
        <f t="shared" si="12"/>
        <v>0</v>
      </c>
      <c r="H141" s="121">
        <f t="shared" si="12"/>
        <v>2561884.81</v>
      </c>
      <c r="I141" s="121">
        <f t="shared" si="12"/>
        <v>-653512</v>
      </c>
      <c r="J141" s="121">
        <f t="shared" si="12"/>
        <v>0</v>
      </c>
      <c r="K141" s="121">
        <f t="shared" si="12"/>
        <v>-215036</v>
      </c>
      <c r="L141" s="121">
        <f t="shared" si="12"/>
        <v>-868548</v>
      </c>
      <c r="M141" s="121">
        <f t="shared" si="12"/>
        <v>1693336.81</v>
      </c>
      <c r="N141" s="122">
        <f t="shared" si="12"/>
        <v>1908372.81</v>
      </c>
      <c r="O141" s="204">
        <f t="shared" si="12"/>
        <v>3564000</v>
      </c>
      <c r="P141" s="204">
        <f t="shared" si="12"/>
        <v>825588</v>
      </c>
      <c r="Q141" s="197">
        <f t="shared" si="12"/>
        <v>2738412</v>
      </c>
    </row>
    <row r="142" spans="1:256" s="99" customFormat="1" ht="15" thickBot="1" x14ac:dyDescent="0.4">
      <c r="O142" s="193"/>
      <c r="P142" s="193"/>
      <c r="Q142" s="193"/>
    </row>
    <row r="143" spans="1:256" s="99" customFormat="1" x14ac:dyDescent="0.35">
      <c r="A143" s="152">
        <v>4</v>
      </c>
      <c r="B143" s="172" t="s">
        <v>80</v>
      </c>
      <c r="C143" s="103"/>
      <c r="D143" s="103"/>
      <c r="E143" s="103"/>
      <c r="F143" s="103"/>
      <c r="G143" s="103"/>
      <c r="H143" s="103"/>
      <c r="I143" s="103"/>
      <c r="J143" s="103"/>
      <c r="K143" s="103"/>
      <c r="L143" s="103"/>
      <c r="M143" s="103"/>
      <c r="N143" s="104"/>
      <c r="O143" s="202"/>
      <c r="P143" s="202"/>
      <c r="Q143" s="195"/>
    </row>
    <row r="144" spans="1:256" s="175" customFormat="1" ht="15" thickBot="1" x14ac:dyDescent="0.4">
      <c r="A144" s="181">
        <v>10300353</v>
      </c>
      <c r="B144" s="182" t="s">
        <v>350</v>
      </c>
      <c r="C144" s="182" t="s">
        <v>288</v>
      </c>
      <c r="D144" s="183">
        <v>1012567</v>
      </c>
      <c r="E144" s="182">
        <v>0</v>
      </c>
      <c r="F144" s="182">
        <v>0</v>
      </c>
      <c r="G144" s="182">
        <v>0</v>
      </c>
      <c r="H144" s="183">
        <v>1012567</v>
      </c>
      <c r="I144" s="183">
        <v>-810059</v>
      </c>
      <c r="J144" s="182">
        <v>0</v>
      </c>
      <c r="K144" s="183">
        <v>-25314</v>
      </c>
      <c r="L144" s="183">
        <v>-835373</v>
      </c>
      <c r="M144" s="183">
        <v>177194</v>
      </c>
      <c r="N144" s="184">
        <v>202508</v>
      </c>
      <c r="O144" s="205">
        <v>8498000</v>
      </c>
      <c r="P144" s="205">
        <v>5328246</v>
      </c>
      <c r="Q144" s="200">
        <v>3169754</v>
      </c>
      <c r="R144" s="174"/>
      <c r="S144" s="174"/>
      <c r="T144" s="174"/>
      <c r="U144" s="174"/>
      <c r="V144" s="174"/>
      <c r="W144" s="174"/>
      <c r="X144" s="174"/>
      <c r="Y144" s="174"/>
      <c r="Z144" s="174"/>
      <c r="AA144" s="174"/>
      <c r="AB144" s="174"/>
      <c r="AC144" s="174"/>
      <c r="AD144" s="174"/>
      <c r="AE144" s="174"/>
      <c r="AF144" s="174"/>
      <c r="AG144" s="174"/>
      <c r="AH144" s="174"/>
      <c r="AI144" s="174"/>
      <c r="AJ144" s="174"/>
      <c r="AK144" s="174"/>
      <c r="AL144" s="174"/>
      <c r="AM144" s="174"/>
      <c r="AN144" s="174"/>
      <c r="AO144" s="174"/>
      <c r="AP144" s="174"/>
      <c r="AQ144" s="174"/>
      <c r="AR144" s="174"/>
      <c r="AS144" s="174"/>
      <c r="AT144" s="174"/>
      <c r="AU144" s="174"/>
      <c r="AV144" s="174"/>
      <c r="AW144" s="174"/>
      <c r="AX144" s="174"/>
      <c r="AY144" s="174"/>
      <c r="AZ144" s="174"/>
      <c r="BA144" s="174"/>
      <c r="BB144" s="174"/>
      <c r="BC144" s="174"/>
      <c r="BD144" s="174"/>
      <c r="BE144" s="174"/>
      <c r="BF144" s="174"/>
      <c r="BG144" s="174"/>
      <c r="BH144" s="174"/>
      <c r="BI144" s="174"/>
      <c r="BJ144" s="174"/>
      <c r="BK144" s="174"/>
      <c r="BL144" s="174"/>
      <c r="BM144" s="174"/>
      <c r="BN144" s="174"/>
      <c r="BO144" s="174"/>
      <c r="BP144" s="174"/>
      <c r="BQ144" s="174"/>
      <c r="BR144" s="174"/>
      <c r="BS144" s="174"/>
      <c r="BT144" s="174"/>
      <c r="BU144" s="174"/>
      <c r="BV144" s="174"/>
      <c r="BW144" s="174"/>
      <c r="BX144" s="174"/>
      <c r="BY144" s="174"/>
      <c r="BZ144" s="174"/>
      <c r="CA144" s="174"/>
      <c r="CB144" s="174"/>
      <c r="CC144" s="174"/>
      <c r="CD144" s="174"/>
      <c r="CE144" s="174"/>
      <c r="CF144" s="174"/>
      <c r="CG144" s="174"/>
      <c r="CH144" s="174"/>
      <c r="CI144" s="174"/>
      <c r="CJ144" s="174"/>
      <c r="CK144" s="174"/>
      <c r="CL144" s="174"/>
      <c r="CM144" s="174"/>
      <c r="CN144" s="174"/>
      <c r="CO144" s="174"/>
      <c r="CP144" s="174"/>
      <c r="CQ144" s="174"/>
      <c r="CR144" s="174"/>
      <c r="CS144" s="174"/>
      <c r="CT144" s="174"/>
      <c r="CU144" s="174"/>
      <c r="CV144" s="174"/>
      <c r="CW144" s="174"/>
      <c r="CX144" s="174"/>
      <c r="CY144" s="174"/>
      <c r="CZ144" s="174"/>
      <c r="DA144" s="174"/>
      <c r="DB144" s="174"/>
      <c r="DC144" s="174"/>
      <c r="DD144" s="174"/>
      <c r="DE144" s="174"/>
      <c r="DF144" s="174"/>
      <c r="DG144" s="174"/>
      <c r="DH144" s="174"/>
      <c r="DI144" s="174"/>
      <c r="DJ144" s="174"/>
      <c r="DK144" s="174"/>
      <c r="DL144" s="174"/>
      <c r="DM144" s="174"/>
      <c r="DN144" s="174"/>
      <c r="DO144" s="174"/>
      <c r="DP144" s="174"/>
      <c r="DQ144" s="174"/>
      <c r="DR144" s="174"/>
      <c r="DS144" s="174"/>
      <c r="DT144" s="174"/>
      <c r="DU144" s="174"/>
      <c r="DV144" s="174"/>
      <c r="DW144" s="174"/>
      <c r="DX144" s="174"/>
      <c r="DY144" s="174"/>
      <c r="DZ144" s="174"/>
      <c r="EA144" s="174"/>
      <c r="EB144" s="174"/>
      <c r="EC144" s="174"/>
      <c r="ED144" s="174"/>
      <c r="EE144" s="174"/>
      <c r="EF144" s="174"/>
      <c r="EG144" s="174"/>
      <c r="EH144" s="174"/>
      <c r="EI144" s="174"/>
      <c r="EJ144" s="174"/>
      <c r="EK144" s="174"/>
      <c r="EL144" s="174"/>
      <c r="EM144" s="174"/>
      <c r="EN144" s="174"/>
      <c r="EO144" s="174"/>
      <c r="EP144" s="174"/>
      <c r="EQ144" s="174"/>
      <c r="ER144" s="174"/>
      <c r="ES144" s="174"/>
      <c r="ET144" s="174"/>
      <c r="EU144" s="174"/>
      <c r="EV144" s="174"/>
      <c r="EW144" s="174"/>
      <c r="EX144" s="174"/>
      <c r="EY144" s="174"/>
      <c r="EZ144" s="174"/>
      <c r="FA144" s="174"/>
      <c r="FB144" s="174"/>
      <c r="FC144" s="174"/>
      <c r="FD144" s="174"/>
      <c r="FE144" s="174"/>
      <c r="FF144" s="174"/>
      <c r="FG144" s="174"/>
      <c r="FH144" s="174"/>
      <c r="FI144" s="174"/>
      <c r="FJ144" s="174"/>
      <c r="FK144" s="174"/>
      <c r="FL144" s="174"/>
      <c r="FM144" s="174"/>
      <c r="FN144" s="174"/>
      <c r="FO144" s="174"/>
      <c r="FP144" s="174"/>
      <c r="FQ144" s="174"/>
      <c r="FR144" s="174"/>
      <c r="FS144" s="174"/>
      <c r="FT144" s="174"/>
      <c r="FU144" s="174"/>
      <c r="FV144" s="174"/>
      <c r="FW144" s="174"/>
      <c r="FX144" s="174"/>
      <c r="FY144" s="174"/>
      <c r="FZ144" s="174"/>
      <c r="GA144" s="174"/>
      <c r="GB144" s="174"/>
      <c r="GC144" s="174"/>
      <c r="GD144" s="174"/>
      <c r="GE144" s="174"/>
      <c r="GF144" s="174"/>
      <c r="GG144" s="174"/>
      <c r="GH144" s="174"/>
      <c r="GI144" s="174"/>
      <c r="GJ144" s="174"/>
      <c r="GK144" s="174"/>
      <c r="GL144" s="174"/>
      <c r="GM144" s="174"/>
      <c r="GN144" s="174"/>
      <c r="GO144" s="174"/>
      <c r="GP144" s="174"/>
      <c r="GQ144" s="174"/>
      <c r="GR144" s="174"/>
      <c r="GS144" s="174"/>
      <c r="GT144" s="174"/>
      <c r="GU144" s="174"/>
      <c r="GV144" s="174"/>
      <c r="GW144" s="174"/>
      <c r="GX144" s="174"/>
      <c r="GY144" s="174"/>
      <c r="GZ144" s="174"/>
      <c r="HA144" s="174"/>
      <c r="HB144" s="174"/>
      <c r="HC144" s="174"/>
      <c r="HD144" s="174"/>
      <c r="HE144" s="174"/>
      <c r="HF144" s="174"/>
      <c r="HG144" s="174"/>
      <c r="HH144" s="174"/>
      <c r="HI144" s="174"/>
      <c r="HJ144" s="174"/>
      <c r="HK144" s="174"/>
      <c r="HL144" s="174"/>
      <c r="HM144" s="174"/>
      <c r="HN144" s="174"/>
      <c r="HO144" s="174"/>
      <c r="HP144" s="174"/>
      <c r="HQ144" s="174"/>
      <c r="HR144" s="174"/>
      <c r="HS144" s="174"/>
      <c r="HT144" s="174"/>
      <c r="HU144" s="174"/>
      <c r="HV144" s="174"/>
      <c r="HW144" s="174"/>
      <c r="HX144" s="174"/>
      <c r="HY144" s="174"/>
      <c r="HZ144" s="174"/>
      <c r="IA144" s="174"/>
      <c r="IB144" s="174"/>
      <c r="IC144" s="174"/>
      <c r="ID144" s="174"/>
      <c r="IE144" s="174"/>
      <c r="IF144" s="174"/>
      <c r="IG144" s="174"/>
      <c r="IH144" s="174"/>
      <c r="II144" s="174"/>
      <c r="IJ144" s="174"/>
      <c r="IK144" s="174"/>
      <c r="IL144" s="174"/>
      <c r="IM144" s="174"/>
      <c r="IN144" s="174"/>
      <c r="IO144" s="174"/>
      <c r="IP144" s="174"/>
      <c r="IQ144" s="174"/>
      <c r="IR144" s="174"/>
      <c r="IS144" s="174"/>
      <c r="IT144" s="174"/>
      <c r="IU144" s="174"/>
      <c r="IV144" s="174"/>
    </row>
    <row r="145" spans="1:256" s="99" customFormat="1" ht="15" thickBot="1" x14ac:dyDescent="0.4">
      <c r="O145" s="193"/>
      <c r="P145" s="193"/>
      <c r="Q145" s="193"/>
    </row>
    <row r="146" spans="1:256" s="99" customFormat="1" x14ac:dyDescent="0.35">
      <c r="A146" s="152">
        <v>5</v>
      </c>
      <c r="B146" s="172" t="s">
        <v>82</v>
      </c>
      <c r="C146" s="103"/>
      <c r="D146" s="103"/>
      <c r="E146" s="103"/>
      <c r="F146" s="103"/>
      <c r="G146" s="103"/>
      <c r="H146" s="103"/>
      <c r="I146" s="103"/>
      <c r="J146" s="103"/>
      <c r="K146" s="103"/>
      <c r="L146" s="103"/>
      <c r="M146" s="103"/>
      <c r="N146" s="104"/>
      <c r="O146" s="202"/>
      <c r="P146" s="202"/>
      <c r="Q146" s="195"/>
    </row>
    <row r="147" spans="1:256" s="99" customFormat="1" x14ac:dyDescent="0.35">
      <c r="A147" s="185">
        <v>10300342</v>
      </c>
      <c r="B147" s="90" t="s">
        <v>82</v>
      </c>
      <c r="C147" s="90" t="s">
        <v>279</v>
      </c>
      <c r="D147" s="91">
        <v>161933</v>
      </c>
      <c r="E147" s="90">
        <v>0</v>
      </c>
      <c r="F147" s="90">
        <v>0</v>
      </c>
      <c r="G147" s="90">
        <v>0</v>
      </c>
      <c r="H147" s="91">
        <v>161933</v>
      </c>
      <c r="I147" s="91">
        <v>-161932</v>
      </c>
      <c r="J147" s="90">
        <v>0</v>
      </c>
      <c r="K147" s="90">
        <v>0</v>
      </c>
      <c r="L147" s="91">
        <v>-161932</v>
      </c>
      <c r="M147" s="90">
        <v>1</v>
      </c>
      <c r="N147" s="165">
        <v>1</v>
      </c>
      <c r="O147" s="203">
        <v>8000</v>
      </c>
      <c r="P147" s="203">
        <v>0</v>
      </c>
      <c r="Q147" s="198">
        <v>8000</v>
      </c>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c r="IP147"/>
      <c r="IQ147"/>
      <c r="IR147"/>
      <c r="IS147"/>
      <c r="IT147"/>
      <c r="IU147"/>
      <c r="IV147"/>
    </row>
    <row r="148" spans="1:256" s="99" customFormat="1" x14ac:dyDescent="0.35">
      <c r="A148" s="185">
        <v>10300418</v>
      </c>
      <c r="B148" s="90" t="s">
        <v>351</v>
      </c>
      <c r="C148" s="90" t="s">
        <v>208</v>
      </c>
      <c r="D148" s="91">
        <v>285128</v>
      </c>
      <c r="E148" s="90">
        <v>0</v>
      </c>
      <c r="F148" s="90">
        <v>0</v>
      </c>
      <c r="G148" s="90">
        <v>0</v>
      </c>
      <c r="H148" s="91">
        <v>285128</v>
      </c>
      <c r="I148" s="91">
        <v>-65617</v>
      </c>
      <c r="J148" s="90">
        <v>0</v>
      </c>
      <c r="K148" s="91">
        <v>-7128</v>
      </c>
      <c r="L148" s="91">
        <v>-72745</v>
      </c>
      <c r="M148" s="91">
        <v>212383</v>
      </c>
      <c r="N148" s="155">
        <v>219511</v>
      </c>
      <c r="O148" s="203">
        <v>539000</v>
      </c>
      <c r="P148" s="203">
        <v>102410</v>
      </c>
      <c r="Q148" s="198">
        <v>436590</v>
      </c>
      <c r="R148"/>
      <c r="S148" s="85"/>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c r="IP148"/>
      <c r="IQ148"/>
      <c r="IR148"/>
      <c r="IS148"/>
      <c r="IT148"/>
      <c r="IU148"/>
      <c r="IV148"/>
    </row>
    <row r="149" spans="1:256" s="99" customFormat="1" ht="15" thickBot="1" x14ac:dyDescent="0.4">
      <c r="A149" s="113"/>
      <c r="B149" s="114"/>
      <c r="C149" s="114"/>
      <c r="D149" s="121">
        <f>SUM(D147:D148)</f>
        <v>447061</v>
      </c>
      <c r="E149" s="121">
        <f t="shared" ref="E149:Q149" si="13">SUM(E147:E148)</f>
        <v>0</v>
      </c>
      <c r="F149" s="121">
        <f t="shared" si="13"/>
        <v>0</v>
      </c>
      <c r="G149" s="121">
        <f t="shared" si="13"/>
        <v>0</v>
      </c>
      <c r="H149" s="121">
        <f t="shared" si="13"/>
        <v>447061</v>
      </c>
      <c r="I149" s="121">
        <f t="shared" si="13"/>
        <v>-227549</v>
      </c>
      <c r="J149" s="121">
        <f t="shared" si="13"/>
        <v>0</v>
      </c>
      <c r="K149" s="121">
        <f t="shared" si="13"/>
        <v>-7128</v>
      </c>
      <c r="L149" s="121">
        <f t="shared" si="13"/>
        <v>-234677</v>
      </c>
      <c r="M149" s="121">
        <f t="shared" si="13"/>
        <v>212384</v>
      </c>
      <c r="N149" s="121">
        <f t="shared" si="13"/>
        <v>219512</v>
      </c>
      <c r="O149" s="204">
        <f t="shared" si="13"/>
        <v>547000</v>
      </c>
      <c r="P149" s="204">
        <f t="shared" si="13"/>
        <v>102410</v>
      </c>
      <c r="Q149" s="197">
        <f t="shared" si="13"/>
        <v>444590</v>
      </c>
    </row>
    <row r="150" spans="1:256" s="99" customFormat="1" ht="15" thickBot="1" x14ac:dyDescent="0.4">
      <c r="O150" s="193"/>
      <c r="P150" s="193"/>
      <c r="Q150" s="193"/>
    </row>
    <row r="151" spans="1:256" s="99" customFormat="1" x14ac:dyDescent="0.35">
      <c r="A151" s="152">
        <v>6</v>
      </c>
      <c r="B151" s="172" t="s">
        <v>84</v>
      </c>
      <c r="C151" s="103"/>
      <c r="D151" s="103"/>
      <c r="E151" s="103"/>
      <c r="F151" s="103"/>
      <c r="G151" s="103"/>
      <c r="H151" s="103"/>
      <c r="I151" s="103"/>
      <c r="J151" s="103"/>
      <c r="K151" s="103"/>
      <c r="L151" s="103"/>
      <c r="M151" s="103"/>
      <c r="N151" s="104"/>
      <c r="O151" s="202"/>
      <c r="P151" s="202"/>
      <c r="Q151" s="195"/>
    </row>
    <row r="152" spans="1:256" s="99" customFormat="1" ht="15" thickBot="1" x14ac:dyDescent="0.4">
      <c r="A152" s="146">
        <v>10300425</v>
      </c>
      <c r="B152" s="147" t="s">
        <v>84</v>
      </c>
      <c r="C152" s="147" t="s">
        <v>352</v>
      </c>
      <c r="D152" s="148">
        <v>16031067.51</v>
      </c>
      <c r="E152" s="147">
        <v>0</v>
      </c>
      <c r="F152" s="147">
        <v>0</v>
      </c>
      <c r="G152" s="147">
        <v>0</v>
      </c>
      <c r="H152" s="148">
        <v>16031067.51</v>
      </c>
      <c r="I152" s="148">
        <v>-2228975</v>
      </c>
      <c r="J152" s="147">
        <v>0</v>
      </c>
      <c r="K152" s="148">
        <v>-445308</v>
      </c>
      <c r="L152" s="148">
        <v>-2674283</v>
      </c>
      <c r="M152" s="148">
        <v>13356784.51</v>
      </c>
      <c r="N152" s="149">
        <v>13802092.51</v>
      </c>
      <c r="O152" s="205">
        <v>30329000</v>
      </c>
      <c r="P152" s="205">
        <v>5762510</v>
      </c>
      <c r="Q152" s="201">
        <v>24566490</v>
      </c>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c r="IP152"/>
      <c r="IQ152"/>
      <c r="IR152"/>
      <c r="IS152"/>
      <c r="IT152"/>
      <c r="IU152"/>
      <c r="IV152"/>
    </row>
    <row r="153" spans="1:256" s="99" customFormat="1" ht="17.25" customHeight="1" x14ac:dyDescent="0.35">
      <c r="O153" s="193"/>
      <c r="P153" s="193"/>
      <c r="Q153" s="193"/>
    </row>
    <row r="154" spans="1:256" s="99" customFormat="1" ht="20" thickBot="1" x14ac:dyDescent="0.4">
      <c r="A154" s="671" t="s">
        <v>86</v>
      </c>
      <c r="B154" s="671"/>
      <c r="O154" s="193"/>
      <c r="P154" s="193"/>
      <c r="Q154" s="193"/>
    </row>
    <row r="155" spans="1:256" s="100" customFormat="1" ht="15.5" x14ac:dyDescent="0.35">
      <c r="A155" s="117">
        <v>1</v>
      </c>
      <c r="B155" s="118" t="s">
        <v>87</v>
      </c>
      <c r="C155" s="119"/>
      <c r="D155" s="119"/>
      <c r="E155" s="119"/>
      <c r="F155" s="119"/>
      <c r="G155" s="119"/>
      <c r="H155" s="119"/>
      <c r="I155" s="119"/>
      <c r="J155" s="119"/>
      <c r="K155" s="119"/>
      <c r="L155" s="119"/>
      <c r="M155" s="119"/>
      <c r="N155" s="120"/>
      <c r="O155" s="206"/>
      <c r="P155" s="206"/>
      <c r="Q155" s="207"/>
    </row>
    <row r="156" spans="1:256" s="99" customFormat="1" ht="15" thickBot="1" x14ac:dyDescent="0.4">
      <c r="A156" s="113">
        <v>10700041</v>
      </c>
      <c r="B156" s="114" t="s">
        <v>228</v>
      </c>
      <c r="C156" s="114" t="s">
        <v>229</v>
      </c>
      <c r="D156" s="115">
        <v>9940193</v>
      </c>
      <c r="E156" s="114">
        <v>0</v>
      </c>
      <c r="F156" s="114">
        <v>0</v>
      </c>
      <c r="G156" s="114">
        <v>0</v>
      </c>
      <c r="H156" s="115">
        <f>SUM(D156:G156)</f>
        <v>9940193</v>
      </c>
      <c r="I156" s="115">
        <v>-7968881</v>
      </c>
      <c r="J156" s="114">
        <v>0</v>
      </c>
      <c r="K156" s="115">
        <v>-1242710</v>
      </c>
      <c r="L156" s="115">
        <f>SUM(I156:K156)</f>
        <v>-9211591</v>
      </c>
      <c r="M156" s="115">
        <v>728602</v>
      </c>
      <c r="N156" s="125">
        <v>1971312</v>
      </c>
      <c r="O156" s="208"/>
      <c r="P156" s="208"/>
      <c r="Q156" s="199"/>
    </row>
    <row r="157" spans="1:256" s="99" customFormat="1" ht="15" thickBot="1" x14ac:dyDescent="0.4">
      <c r="O157" s="193"/>
      <c r="P157" s="193"/>
      <c r="Q157" s="193"/>
    </row>
    <row r="158" spans="1:256" s="100" customFormat="1" ht="15.5" x14ac:dyDescent="0.35">
      <c r="A158" s="117">
        <v>2</v>
      </c>
      <c r="B158" s="118" t="s">
        <v>89</v>
      </c>
      <c r="C158" s="119"/>
      <c r="D158" s="119"/>
      <c r="E158" s="119"/>
      <c r="F158" s="119"/>
      <c r="G158" s="119"/>
      <c r="H158" s="119"/>
      <c r="I158" s="119"/>
      <c r="J158" s="119"/>
      <c r="K158" s="119"/>
      <c r="L158" s="119"/>
      <c r="M158" s="119"/>
      <c r="N158" s="120"/>
      <c r="O158" s="206"/>
      <c r="P158" s="206"/>
      <c r="Q158" s="207"/>
    </row>
    <row r="159" spans="1:256" s="99" customFormat="1" ht="15" thickBot="1" x14ac:dyDescent="0.4">
      <c r="A159" s="113">
        <v>10700042</v>
      </c>
      <c r="B159" s="114" t="s">
        <v>230</v>
      </c>
      <c r="C159" s="114" t="s">
        <v>231</v>
      </c>
      <c r="D159" s="115">
        <v>104307906.2</v>
      </c>
      <c r="E159" s="114">
        <v>0</v>
      </c>
      <c r="F159" s="114">
        <v>0</v>
      </c>
      <c r="G159" s="114">
        <v>0</v>
      </c>
      <c r="H159" s="115">
        <f>SUM(D159:G159)</f>
        <v>104307906.2</v>
      </c>
      <c r="I159" s="115">
        <f>-56497735+2</f>
        <v>-56497733</v>
      </c>
      <c r="J159" s="114">
        <v>0</v>
      </c>
      <c r="K159" s="115">
        <v>-10430791</v>
      </c>
      <c r="L159" s="115">
        <f>SUM(I159:K159)</f>
        <v>-66928524</v>
      </c>
      <c r="M159" s="115">
        <v>37379380.409999996</v>
      </c>
      <c r="N159" s="125">
        <v>47810171.409999996</v>
      </c>
      <c r="O159" s="208"/>
      <c r="P159" s="208"/>
      <c r="Q159" s="199"/>
    </row>
    <row r="160" spans="1:256" s="99" customFormat="1" ht="15" thickBot="1" x14ac:dyDescent="0.4">
      <c r="O160" s="193"/>
      <c r="P160" s="193"/>
      <c r="Q160" s="193"/>
    </row>
    <row r="161" spans="1:17" s="100" customFormat="1" ht="15.5" x14ac:dyDescent="0.35">
      <c r="A161" s="117">
        <v>3</v>
      </c>
      <c r="B161" s="150" t="s">
        <v>90</v>
      </c>
      <c r="C161" s="119"/>
      <c r="D161" s="119"/>
      <c r="E161" s="119"/>
      <c r="F161" s="119"/>
      <c r="G161" s="119"/>
      <c r="H161" s="119"/>
      <c r="I161" s="119"/>
      <c r="J161" s="119"/>
      <c r="K161" s="119"/>
      <c r="L161" s="119"/>
      <c r="M161" s="119"/>
      <c r="N161" s="120"/>
      <c r="O161" s="206"/>
      <c r="P161" s="206"/>
      <c r="Q161" s="207"/>
    </row>
    <row r="162" spans="1:17" s="99" customFormat="1" x14ac:dyDescent="0.35">
      <c r="A162" s="107">
        <v>10700043</v>
      </c>
      <c r="B162" s="99" t="s">
        <v>232</v>
      </c>
      <c r="C162" s="99" t="s">
        <v>233</v>
      </c>
      <c r="D162" s="101">
        <v>2381349.63</v>
      </c>
      <c r="E162" s="99">
        <v>0</v>
      </c>
      <c r="F162" s="99">
        <v>0</v>
      </c>
      <c r="G162" s="99">
        <v>0</v>
      </c>
      <c r="H162" s="101">
        <f>SUM(D162:G162)</f>
        <v>2381349.63</v>
      </c>
      <c r="I162" s="101">
        <v>-1590285</v>
      </c>
      <c r="J162" s="99">
        <v>0</v>
      </c>
      <c r="K162" s="101">
        <v>-297669</v>
      </c>
      <c r="L162" s="101">
        <f>SUM(I162:K162)</f>
        <v>-1887954</v>
      </c>
      <c r="M162" s="101">
        <v>493395.63</v>
      </c>
      <c r="N162" s="109">
        <v>791064.63</v>
      </c>
      <c r="O162" s="193"/>
      <c r="P162" s="193"/>
      <c r="Q162" s="209"/>
    </row>
    <row r="163" spans="1:17" s="99" customFormat="1" x14ac:dyDescent="0.35">
      <c r="A163" s="107">
        <v>10700044</v>
      </c>
      <c r="B163" s="99" t="s">
        <v>234</v>
      </c>
      <c r="C163" s="99" t="s">
        <v>233</v>
      </c>
      <c r="D163" s="101">
        <v>2381349.63</v>
      </c>
      <c r="E163" s="99">
        <v>0</v>
      </c>
      <c r="F163" s="99">
        <v>0</v>
      </c>
      <c r="G163" s="99">
        <v>0</v>
      </c>
      <c r="H163" s="101">
        <f>SUM(D163:G163)</f>
        <v>2381349.63</v>
      </c>
      <c r="I163" s="101">
        <v>-1590285</v>
      </c>
      <c r="J163" s="99">
        <v>0</v>
      </c>
      <c r="K163" s="101">
        <v>-297669</v>
      </c>
      <c r="L163" s="101">
        <f>SUM(I163:K163)</f>
        <v>-1887954</v>
      </c>
      <c r="M163" s="101">
        <v>493395.63</v>
      </c>
      <c r="N163" s="109">
        <v>791064.63</v>
      </c>
      <c r="O163" s="193"/>
      <c r="P163" s="193"/>
      <c r="Q163" s="209"/>
    </row>
    <row r="164" spans="1:17" s="99" customFormat="1" ht="15" thickBot="1" x14ac:dyDescent="0.4">
      <c r="A164" s="113"/>
      <c r="B164" s="114"/>
      <c r="C164" s="114"/>
      <c r="D164" s="121">
        <f>SUM(D162:D163)</f>
        <v>4762699.26</v>
      </c>
      <c r="E164" s="121">
        <f t="shared" ref="E164:N164" si="14">SUM(E162:E163)</f>
        <v>0</v>
      </c>
      <c r="F164" s="121">
        <f t="shared" si="14"/>
        <v>0</v>
      </c>
      <c r="G164" s="121">
        <f t="shared" si="14"/>
        <v>0</v>
      </c>
      <c r="H164" s="121">
        <f t="shared" si="14"/>
        <v>4762699.26</v>
      </c>
      <c r="I164" s="121">
        <f t="shared" si="14"/>
        <v>-3180570</v>
      </c>
      <c r="J164" s="121">
        <f t="shared" si="14"/>
        <v>0</v>
      </c>
      <c r="K164" s="121">
        <f t="shared" si="14"/>
        <v>-595338</v>
      </c>
      <c r="L164" s="121">
        <f t="shared" si="14"/>
        <v>-3775908</v>
      </c>
      <c r="M164" s="121">
        <f t="shared" si="14"/>
        <v>986791.26</v>
      </c>
      <c r="N164" s="122">
        <f t="shared" si="14"/>
        <v>1582129.26</v>
      </c>
      <c r="O164" s="208"/>
      <c r="P164" s="208"/>
      <c r="Q164" s="199"/>
    </row>
    <row r="165" spans="1:17" s="99" customFormat="1" ht="15" thickBot="1" x14ac:dyDescent="0.4">
      <c r="D165" s="102"/>
      <c r="E165" s="102"/>
      <c r="F165" s="102"/>
      <c r="G165" s="102"/>
      <c r="H165" s="102"/>
      <c r="I165" s="102"/>
      <c r="J165" s="102"/>
      <c r="K165" s="102"/>
      <c r="L165" s="102"/>
      <c r="M165" s="102"/>
      <c r="N165" s="102"/>
      <c r="O165" s="193"/>
      <c r="P165" s="193"/>
      <c r="Q165" s="193"/>
    </row>
    <row r="166" spans="1:17" s="100" customFormat="1" ht="31" x14ac:dyDescent="0.35">
      <c r="A166" s="117">
        <v>4</v>
      </c>
      <c r="B166" s="118" t="s">
        <v>91</v>
      </c>
      <c r="C166" s="119"/>
      <c r="D166" s="119"/>
      <c r="E166" s="119"/>
      <c r="F166" s="119"/>
      <c r="G166" s="119"/>
      <c r="H166" s="119"/>
      <c r="I166" s="119"/>
      <c r="J166" s="119"/>
      <c r="K166" s="119"/>
      <c r="L166" s="119"/>
      <c r="M166" s="119"/>
      <c r="N166" s="120"/>
      <c r="O166" s="206"/>
      <c r="P166" s="206"/>
      <c r="Q166" s="207"/>
    </row>
    <row r="167" spans="1:17" s="99" customFormat="1" ht="15" thickBot="1" x14ac:dyDescent="0.4">
      <c r="A167" s="113">
        <v>10700050</v>
      </c>
      <c r="B167" s="114" t="s">
        <v>235</v>
      </c>
      <c r="C167" s="114" t="s">
        <v>236</v>
      </c>
      <c r="D167" s="115">
        <v>10513594</v>
      </c>
      <c r="E167" s="114">
        <v>0</v>
      </c>
      <c r="F167" s="114">
        <v>0</v>
      </c>
      <c r="G167" s="114">
        <v>0</v>
      </c>
      <c r="H167" s="115">
        <f>SUM(D167:G167)</f>
        <v>10513594</v>
      </c>
      <c r="I167" s="115">
        <v>-2178330</v>
      </c>
      <c r="J167" s="114">
        <v>0</v>
      </c>
      <c r="K167" s="115">
        <v>-1314199</v>
      </c>
      <c r="L167" s="115">
        <f>SUM(I167:K167)</f>
        <v>-3492529</v>
      </c>
      <c r="M167" s="115">
        <v>7021065</v>
      </c>
      <c r="N167" s="125">
        <v>8335264</v>
      </c>
      <c r="O167" s="208"/>
      <c r="P167" s="208"/>
      <c r="Q167" s="199"/>
    </row>
    <row r="168" spans="1:17" s="99" customFormat="1" ht="15" thickBot="1" x14ac:dyDescent="0.4">
      <c r="O168" s="193"/>
      <c r="P168" s="193"/>
      <c r="Q168" s="193"/>
    </row>
    <row r="169" spans="1:17" s="100" customFormat="1" ht="31" x14ac:dyDescent="0.35">
      <c r="A169" s="117">
        <v>5</v>
      </c>
      <c r="B169" s="118" t="s">
        <v>92</v>
      </c>
      <c r="C169" s="119"/>
      <c r="D169" s="119"/>
      <c r="E169" s="119"/>
      <c r="F169" s="119"/>
      <c r="G169" s="119"/>
      <c r="H169" s="119"/>
      <c r="I169" s="119"/>
      <c r="J169" s="119"/>
      <c r="K169" s="119"/>
      <c r="L169" s="119"/>
      <c r="M169" s="119"/>
      <c r="N169" s="120"/>
      <c r="O169" s="206"/>
      <c r="P169" s="206"/>
      <c r="Q169" s="207"/>
    </row>
    <row r="170" spans="1:17" s="99" customFormat="1" x14ac:dyDescent="0.35">
      <c r="A170" s="107">
        <v>10700047</v>
      </c>
      <c r="B170" s="99" t="s">
        <v>237</v>
      </c>
      <c r="C170" s="99" t="s">
        <v>238</v>
      </c>
      <c r="D170" s="101">
        <v>403781</v>
      </c>
      <c r="E170" s="99">
        <v>0</v>
      </c>
      <c r="F170" s="99">
        <v>0</v>
      </c>
      <c r="G170" s="99">
        <v>0</v>
      </c>
      <c r="H170" s="101">
        <f>SUM(D170:G170)</f>
        <v>403781</v>
      </c>
      <c r="I170" s="101">
        <v>-71353</v>
      </c>
      <c r="J170" s="99">
        <v>0</v>
      </c>
      <c r="K170" s="101">
        <v>-50473</v>
      </c>
      <c r="L170" s="101">
        <f>SUM(I170:K170)</f>
        <v>-121826</v>
      </c>
      <c r="M170" s="101">
        <v>281955</v>
      </c>
      <c r="N170" s="109">
        <v>332428</v>
      </c>
      <c r="O170" s="193"/>
      <c r="P170" s="193"/>
      <c r="Q170" s="209"/>
    </row>
    <row r="171" spans="1:17" s="99" customFormat="1" x14ac:dyDescent="0.35">
      <c r="A171" s="107">
        <v>10700048</v>
      </c>
      <c r="B171" s="99" t="s">
        <v>239</v>
      </c>
      <c r="C171" s="99" t="s">
        <v>238</v>
      </c>
      <c r="D171" s="101">
        <v>403781</v>
      </c>
      <c r="E171" s="99">
        <v>0</v>
      </c>
      <c r="F171" s="99">
        <v>0</v>
      </c>
      <c r="G171" s="99">
        <v>0</v>
      </c>
      <c r="H171" s="101">
        <f>SUM(D171:G171)</f>
        <v>403781</v>
      </c>
      <c r="I171" s="101">
        <v>-71353</v>
      </c>
      <c r="J171" s="99">
        <v>0</v>
      </c>
      <c r="K171" s="101">
        <v>-50473</v>
      </c>
      <c r="L171" s="101">
        <f>SUM(I171:K171)</f>
        <v>-121826</v>
      </c>
      <c r="M171" s="101">
        <v>281955</v>
      </c>
      <c r="N171" s="109">
        <v>332428</v>
      </c>
      <c r="O171" s="193"/>
      <c r="P171" s="193"/>
      <c r="Q171" s="209"/>
    </row>
    <row r="172" spans="1:17" s="99" customFormat="1" ht="15" thickBot="1" x14ac:dyDescent="0.4">
      <c r="A172" s="113"/>
      <c r="B172" s="114"/>
      <c r="C172" s="114"/>
      <c r="D172" s="121">
        <f>SUM(D170:D171)</f>
        <v>807562</v>
      </c>
      <c r="E172" s="121">
        <f t="shared" ref="E172:N172" si="15">SUM(E170:E171)</f>
        <v>0</v>
      </c>
      <c r="F172" s="121">
        <f t="shared" si="15"/>
        <v>0</v>
      </c>
      <c r="G172" s="121">
        <f t="shared" si="15"/>
        <v>0</v>
      </c>
      <c r="H172" s="121">
        <f t="shared" si="15"/>
        <v>807562</v>
      </c>
      <c r="I172" s="121">
        <f t="shared" si="15"/>
        <v>-142706</v>
      </c>
      <c r="J172" s="121">
        <f t="shared" si="15"/>
        <v>0</v>
      </c>
      <c r="K172" s="121">
        <f t="shared" si="15"/>
        <v>-100946</v>
      </c>
      <c r="L172" s="121">
        <f t="shared" si="15"/>
        <v>-243652</v>
      </c>
      <c r="M172" s="121">
        <f t="shared" si="15"/>
        <v>563910</v>
      </c>
      <c r="N172" s="122">
        <f t="shared" si="15"/>
        <v>664856</v>
      </c>
      <c r="O172" s="208"/>
      <c r="P172" s="208"/>
      <c r="Q172" s="199"/>
    </row>
    <row r="173" spans="1:17" s="99" customFormat="1" ht="15" thickBot="1" x14ac:dyDescent="0.4">
      <c r="D173" s="102"/>
      <c r="E173" s="102"/>
      <c r="F173" s="102"/>
      <c r="G173" s="102"/>
      <c r="H173" s="102"/>
      <c r="I173" s="102"/>
      <c r="J173" s="102"/>
      <c r="K173" s="102"/>
      <c r="L173" s="102"/>
      <c r="M173" s="102"/>
      <c r="N173" s="102"/>
      <c r="O173" s="193"/>
      <c r="P173" s="193"/>
      <c r="Q173" s="193"/>
    </row>
    <row r="174" spans="1:17" s="100" customFormat="1" ht="31" x14ac:dyDescent="0.35">
      <c r="A174" s="117">
        <v>6</v>
      </c>
      <c r="B174" s="118" t="s">
        <v>93</v>
      </c>
      <c r="C174" s="119"/>
      <c r="D174" s="119"/>
      <c r="E174" s="119"/>
      <c r="F174" s="119"/>
      <c r="G174" s="119"/>
      <c r="H174" s="119"/>
      <c r="I174" s="119"/>
      <c r="J174" s="119"/>
      <c r="K174" s="119"/>
      <c r="L174" s="119"/>
      <c r="M174" s="119"/>
      <c r="N174" s="120"/>
      <c r="O174" s="206"/>
      <c r="P174" s="206"/>
      <c r="Q174" s="207"/>
    </row>
    <row r="175" spans="1:17" s="99" customFormat="1" ht="15" thickBot="1" x14ac:dyDescent="0.4">
      <c r="A175" s="113">
        <v>10700049</v>
      </c>
      <c r="B175" s="114" t="s">
        <v>240</v>
      </c>
      <c r="C175" s="114" t="s">
        <v>238</v>
      </c>
      <c r="D175" s="115">
        <v>687227</v>
      </c>
      <c r="E175" s="114">
        <v>0</v>
      </c>
      <c r="F175" s="114">
        <v>0</v>
      </c>
      <c r="G175" s="114">
        <v>0</v>
      </c>
      <c r="H175" s="115">
        <f>SUM(D175:G175)</f>
        <v>687227</v>
      </c>
      <c r="I175" s="115">
        <v>-121441</v>
      </c>
      <c r="J175" s="114">
        <v>0</v>
      </c>
      <c r="K175" s="115">
        <v>-85903</v>
      </c>
      <c r="L175" s="115">
        <f>SUM(I175:K175)</f>
        <v>-207344</v>
      </c>
      <c r="M175" s="115">
        <v>479883</v>
      </c>
      <c r="N175" s="125">
        <v>565786</v>
      </c>
      <c r="O175" s="208"/>
      <c r="P175" s="208"/>
      <c r="Q175" s="199"/>
    </row>
    <row r="176" spans="1:17" s="99" customFormat="1" ht="15" thickBot="1" x14ac:dyDescent="0.4">
      <c r="O176" s="193"/>
      <c r="P176" s="193"/>
      <c r="Q176" s="193"/>
    </row>
    <row r="177" spans="1:17" s="100" customFormat="1" ht="15.5" x14ac:dyDescent="0.35">
      <c r="A177" s="117">
        <v>7</v>
      </c>
      <c r="B177" s="118" t="s">
        <v>94</v>
      </c>
      <c r="C177" s="119"/>
      <c r="D177" s="119"/>
      <c r="E177" s="119"/>
      <c r="F177" s="119"/>
      <c r="G177" s="119"/>
      <c r="H177" s="119"/>
      <c r="I177" s="119"/>
      <c r="J177" s="119"/>
      <c r="K177" s="119"/>
      <c r="L177" s="119"/>
      <c r="M177" s="119"/>
      <c r="N177" s="120"/>
      <c r="O177" s="206"/>
      <c r="P177" s="206"/>
      <c r="Q177" s="207"/>
    </row>
    <row r="178" spans="1:17" s="99" customFormat="1" ht="15" thickBot="1" x14ac:dyDescent="0.4">
      <c r="A178" s="113">
        <v>11000177</v>
      </c>
      <c r="B178" s="114" t="s">
        <v>241</v>
      </c>
      <c r="C178" s="114" t="s">
        <v>208</v>
      </c>
      <c r="D178" s="115">
        <v>183546150.33000001</v>
      </c>
      <c r="E178" s="114">
        <v>0</v>
      </c>
      <c r="F178" s="114">
        <v>0</v>
      </c>
      <c r="G178" s="114">
        <v>0</v>
      </c>
      <c r="H178" s="115">
        <f>SUM(D178:G178)</f>
        <v>183546150.33000001</v>
      </c>
      <c r="I178" s="115">
        <v>-84479281</v>
      </c>
      <c r="J178" s="114">
        <v>0</v>
      </c>
      <c r="K178" s="115">
        <v>-9177515</v>
      </c>
      <c r="L178" s="115">
        <f>SUM(I178:K178)</f>
        <v>-93656796</v>
      </c>
      <c r="M178" s="115">
        <v>89889354.329999998</v>
      </c>
      <c r="N178" s="125">
        <v>99066869.329999998</v>
      </c>
      <c r="O178" s="208"/>
      <c r="P178" s="208"/>
      <c r="Q178" s="199"/>
    </row>
    <row r="179" spans="1:17" s="99" customFormat="1" ht="15" thickBot="1" x14ac:dyDescent="0.4">
      <c r="O179" s="193"/>
      <c r="P179" s="193"/>
      <c r="Q179" s="193"/>
    </row>
    <row r="180" spans="1:17" s="100" customFormat="1" x14ac:dyDescent="0.35">
      <c r="A180" s="117">
        <v>8</v>
      </c>
      <c r="B180" s="151" t="s">
        <v>95</v>
      </c>
      <c r="C180" s="119"/>
      <c r="D180" s="119"/>
      <c r="E180" s="119"/>
      <c r="F180" s="119"/>
      <c r="G180" s="119"/>
      <c r="H180" s="119"/>
      <c r="I180" s="119"/>
      <c r="J180" s="119"/>
      <c r="K180" s="119"/>
      <c r="L180" s="119"/>
      <c r="M180" s="119"/>
      <c r="N180" s="120"/>
      <c r="O180" s="206"/>
      <c r="P180" s="206"/>
      <c r="Q180" s="207"/>
    </row>
    <row r="181" spans="1:17" s="99" customFormat="1" ht="15" thickBot="1" x14ac:dyDescent="0.4">
      <c r="A181" s="113">
        <v>11000159</v>
      </c>
      <c r="B181" s="114" t="s">
        <v>95</v>
      </c>
      <c r="C181" s="114" t="s">
        <v>242</v>
      </c>
      <c r="D181" s="115">
        <v>52400000</v>
      </c>
      <c r="E181" s="114">
        <v>0</v>
      </c>
      <c r="F181" s="114">
        <v>0</v>
      </c>
      <c r="G181" s="114">
        <v>0</v>
      </c>
      <c r="H181" s="115">
        <f>SUM(D181:G181)</f>
        <v>52400000</v>
      </c>
      <c r="I181" s="115">
        <v>-22706898</v>
      </c>
      <c r="J181" s="114">
        <v>0</v>
      </c>
      <c r="K181" s="115">
        <v>-1497166</v>
      </c>
      <c r="L181" s="115">
        <f>SUM(I181:K181)</f>
        <v>-24204064</v>
      </c>
      <c r="M181" s="115">
        <v>28195936</v>
      </c>
      <c r="N181" s="125">
        <v>29693102</v>
      </c>
      <c r="O181" s="208"/>
      <c r="P181" s="208"/>
      <c r="Q181" s="199"/>
    </row>
    <row r="182" spans="1:17" s="99" customFormat="1" ht="15" thickBot="1" x14ac:dyDescent="0.4">
      <c r="O182" s="193"/>
      <c r="P182" s="193"/>
      <c r="Q182" s="193"/>
    </row>
    <row r="183" spans="1:17" s="100" customFormat="1" x14ac:dyDescent="0.35">
      <c r="A183" s="117">
        <v>9</v>
      </c>
      <c r="B183" s="151" t="s">
        <v>96</v>
      </c>
      <c r="C183" s="119"/>
      <c r="D183" s="119"/>
      <c r="E183" s="119"/>
      <c r="F183" s="119"/>
      <c r="G183" s="119"/>
      <c r="H183" s="119"/>
      <c r="I183" s="119"/>
      <c r="J183" s="119"/>
      <c r="K183" s="119"/>
      <c r="L183" s="119"/>
      <c r="M183" s="119"/>
      <c r="N183" s="120"/>
      <c r="O183" s="206"/>
      <c r="P183" s="206"/>
      <c r="Q183" s="207"/>
    </row>
    <row r="184" spans="1:17" s="99" customFormat="1" ht="15" thickBot="1" x14ac:dyDescent="0.4">
      <c r="A184" s="113">
        <v>11000167</v>
      </c>
      <c r="B184" s="114" t="s">
        <v>96</v>
      </c>
      <c r="C184" s="114" t="s">
        <v>243</v>
      </c>
      <c r="D184" s="115">
        <v>2731598</v>
      </c>
      <c r="E184" s="114">
        <v>0</v>
      </c>
      <c r="F184" s="114">
        <v>0</v>
      </c>
      <c r="G184" s="114">
        <v>0</v>
      </c>
      <c r="H184" s="115">
        <f>SUM(D184:G184)</f>
        <v>2731598</v>
      </c>
      <c r="I184" s="115">
        <v>-937258</v>
      </c>
      <c r="J184" s="114">
        <v>0</v>
      </c>
      <c r="K184" s="115">
        <v>-69013</v>
      </c>
      <c r="L184" s="115">
        <f>SUM(I184:K184)</f>
        <v>-1006271</v>
      </c>
      <c r="M184" s="115">
        <v>1725327</v>
      </c>
      <c r="N184" s="125">
        <v>1794340</v>
      </c>
      <c r="O184" s="208"/>
      <c r="P184" s="208"/>
      <c r="Q184" s="199"/>
    </row>
    <row r="185" spans="1:17" s="99" customFormat="1" ht="15" thickBot="1" x14ac:dyDescent="0.4">
      <c r="O185" s="193"/>
      <c r="P185" s="193"/>
      <c r="Q185" s="193"/>
    </row>
    <row r="186" spans="1:17" s="100" customFormat="1" x14ac:dyDescent="0.35">
      <c r="A186" s="117">
        <v>10</v>
      </c>
      <c r="B186" s="151" t="s">
        <v>97</v>
      </c>
      <c r="C186" s="119"/>
      <c r="D186" s="119"/>
      <c r="E186" s="119"/>
      <c r="F186" s="119"/>
      <c r="G186" s="119"/>
      <c r="H186" s="119"/>
      <c r="I186" s="119"/>
      <c r="J186" s="119"/>
      <c r="K186" s="119"/>
      <c r="L186" s="119"/>
      <c r="M186" s="119"/>
      <c r="N186" s="120"/>
      <c r="O186" s="206"/>
      <c r="P186" s="206"/>
      <c r="Q186" s="207"/>
    </row>
    <row r="187" spans="1:17" s="99" customFormat="1" ht="15" thickBot="1" x14ac:dyDescent="0.4">
      <c r="A187" s="113">
        <v>11000152</v>
      </c>
      <c r="B187" s="114" t="s">
        <v>97</v>
      </c>
      <c r="C187" s="114" t="s">
        <v>214</v>
      </c>
      <c r="D187" s="115">
        <v>6068816</v>
      </c>
      <c r="E187" s="114">
        <v>0</v>
      </c>
      <c r="F187" s="114">
        <v>0</v>
      </c>
      <c r="G187" s="114">
        <v>0</v>
      </c>
      <c r="H187" s="115">
        <f>SUM(D187:G187)</f>
        <v>6068816</v>
      </c>
      <c r="I187" s="115">
        <v>-2806381</v>
      </c>
      <c r="J187" s="114">
        <v>0</v>
      </c>
      <c r="K187" s="115">
        <v>-163122</v>
      </c>
      <c r="L187" s="115">
        <f>SUM(I187:K187)</f>
        <v>-2969503</v>
      </c>
      <c r="M187" s="115">
        <v>3099313</v>
      </c>
      <c r="N187" s="125">
        <v>3262435</v>
      </c>
      <c r="O187" s="208"/>
      <c r="P187" s="208"/>
      <c r="Q187" s="199"/>
    </row>
    <row r="188" spans="1:17" s="99" customFormat="1" ht="15" thickBot="1" x14ac:dyDescent="0.4">
      <c r="O188" s="193"/>
      <c r="P188" s="193"/>
      <c r="Q188" s="193"/>
    </row>
    <row r="189" spans="1:17" s="99" customFormat="1" x14ac:dyDescent="0.35">
      <c r="A189" s="152">
        <v>11</v>
      </c>
      <c r="B189" s="153" t="s">
        <v>98</v>
      </c>
      <c r="C189" s="103"/>
      <c r="D189" s="103"/>
      <c r="E189" s="103"/>
      <c r="F189" s="103"/>
      <c r="G189" s="103"/>
      <c r="H189" s="103"/>
      <c r="I189" s="103"/>
      <c r="J189" s="103"/>
      <c r="K189" s="103"/>
      <c r="L189" s="103"/>
      <c r="M189" s="103"/>
      <c r="N189" s="104"/>
      <c r="O189" s="202"/>
      <c r="P189" s="202"/>
      <c r="Q189" s="195"/>
    </row>
    <row r="190" spans="1:17" customFormat="1" x14ac:dyDescent="0.35">
      <c r="A190" s="154">
        <v>11000000</v>
      </c>
      <c r="B190" s="90" t="s">
        <v>353</v>
      </c>
      <c r="C190" s="90" t="s">
        <v>354</v>
      </c>
      <c r="D190" s="91">
        <v>3200723</v>
      </c>
      <c r="E190" s="90">
        <v>0</v>
      </c>
      <c r="F190" s="90">
        <v>0</v>
      </c>
      <c r="G190" s="90">
        <v>0</v>
      </c>
      <c r="H190" s="91">
        <v>3200723</v>
      </c>
      <c r="I190" s="91">
        <v>-3200722</v>
      </c>
      <c r="J190" s="90">
        <v>0</v>
      </c>
      <c r="K190" s="90">
        <v>0</v>
      </c>
      <c r="L190" s="91">
        <v>-3200722</v>
      </c>
      <c r="M190" s="90">
        <v>1</v>
      </c>
      <c r="N190" s="165">
        <v>1</v>
      </c>
      <c r="O190" s="203">
        <v>4000000</v>
      </c>
      <c r="P190" s="72">
        <v>3800000</v>
      </c>
      <c r="Q190" s="198">
        <v>200000</v>
      </c>
    </row>
    <row r="191" spans="1:17" customFormat="1" x14ac:dyDescent="0.35">
      <c r="A191" s="154">
        <v>11000004</v>
      </c>
      <c r="B191" s="90" t="s">
        <v>355</v>
      </c>
      <c r="C191" s="90" t="s">
        <v>356</v>
      </c>
      <c r="D191" s="91">
        <v>1047174</v>
      </c>
      <c r="E191" s="90">
        <v>0</v>
      </c>
      <c r="F191" s="90">
        <v>0</v>
      </c>
      <c r="G191" s="90">
        <v>0</v>
      </c>
      <c r="H191" s="91">
        <v>1047174</v>
      </c>
      <c r="I191" s="91">
        <v>-1047173</v>
      </c>
      <c r="J191" s="90">
        <v>0</v>
      </c>
      <c r="K191" s="90">
        <v>0</v>
      </c>
      <c r="L191" s="91">
        <v>-1047173</v>
      </c>
      <c r="M191" s="90">
        <v>1</v>
      </c>
      <c r="N191" s="165">
        <v>1</v>
      </c>
      <c r="O191" s="72">
        <v>131000</v>
      </c>
      <c r="P191" s="72">
        <v>1244500</v>
      </c>
      <c r="Q191" s="198">
        <v>65500</v>
      </c>
    </row>
    <row r="192" spans="1:17" s="99" customFormat="1" ht="15" thickBot="1" x14ac:dyDescent="0.4">
      <c r="A192" s="113"/>
      <c r="B192" s="114"/>
      <c r="C192" s="114"/>
      <c r="D192" s="121">
        <f>SUM(D190:D191)</f>
        <v>4247897</v>
      </c>
      <c r="E192" s="121">
        <f t="shared" ref="E192:Q192" si="16">SUM(E190:E191)</f>
        <v>0</v>
      </c>
      <c r="F192" s="121">
        <f t="shared" si="16"/>
        <v>0</v>
      </c>
      <c r="G192" s="121">
        <f t="shared" si="16"/>
        <v>0</v>
      </c>
      <c r="H192" s="121">
        <f t="shared" si="16"/>
        <v>4247897</v>
      </c>
      <c r="I192" s="121">
        <f t="shared" si="16"/>
        <v>-4247895</v>
      </c>
      <c r="J192" s="121">
        <f t="shared" si="16"/>
        <v>0</v>
      </c>
      <c r="K192" s="121">
        <f t="shared" si="16"/>
        <v>0</v>
      </c>
      <c r="L192" s="121">
        <f t="shared" si="16"/>
        <v>-4247895</v>
      </c>
      <c r="M192" s="121">
        <f t="shared" si="16"/>
        <v>2</v>
      </c>
      <c r="N192" s="122">
        <f t="shared" si="16"/>
        <v>2</v>
      </c>
      <c r="O192" s="121">
        <f t="shared" si="16"/>
        <v>4131000</v>
      </c>
      <c r="P192" s="121">
        <f t="shared" si="16"/>
        <v>5044500</v>
      </c>
      <c r="Q192" s="122">
        <f t="shared" si="16"/>
        <v>265500</v>
      </c>
    </row>
    <row r="193" spans="1:256" s="99" customFormat="1" ht="15" thickBot="1" x14ac:dyDescent="0.4">
      <c r="O193" s="193"/>
      <c r="P193" s="193"/>
      <c r="Q193" s="193"/>
    </row>
    <row r="194" spans="1:256" s="99" customFormat="1" x14ac:dyDescent="0.35">
      <c r="A194" s="152">
        <v>13</v>
      </c>
      <c r="B194" s="153" t="s">
        <v>100</v>
      </c>
      <c r="C194" s="103"/>
      <c r="D194" s="103"/>
      <c r="E194" s="103"/>
      <c r="F194" s="103"/>
      <c r="G194" s="103"/>
      <c r="H194" s="103"/>
      <c r="I194" s="103"/>
      <c r="J194" s="103"/>
      <c r="K194" s="103"/>
      <c r="L194" s="103"/>
      <c r="M194" s="103"/>
      <c r="N194" s="104"/>
      <c r="O194" s="202"/>
      <c r="P194" s="202"/>
      <c r="Q194" s="195"/>
    </row>
    <row r="195" spans="1:256" s="99" customFormat="1" x14ac:dyDescent="0.35">
      <c r="A195" s="154">
        <v>10900081</v>
      </c>
      <c r="B195" s="90" t="s">
        <v>272</v>
      </c>
      <c r="C195" s="90" t="s">
        <v>274</v>
      </c>
      <c r="D195" s="91">
        <v>10303268.039999999</v>
      </c>
      <c r="E195" s="90">
        <v>0</v>
      </c>
      <c r="F195" s="90">
        <v>0</v>
      </c>
      <c r="G195" s="90">
        <v>0</v>
      </c>
      <c r="H195" s="91">
        <v>10303268.039999999</v>
      </c>
      <c r="I195" s="91">
        <v>-3288177</v>
      </c>
      <c r="J195" s="90">
        <v>0</v>
      </c>
      <c r="K195" s="91">
        <v>-1029557</v>
      </c>
      <c r="L195" s="91">
        <v>-4317734</v>
      </c>
      <c r="M195" s="91">
        <v>5985534.04</v>
      </c>
      <c r="N195" s="155">
        <v>7015091.04</v>
      </c>
      <c r="O195" s="72"/>
      <c r="P195" s="72"/>
      <c r="Q195" s="198"/>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c r="IP195"/>
      <c r="IQ195"/>
      <c r="IR195"/>
      <c r="IS195"/>
      <c r="IT195"/>
      <c r="IU195"/>
      <c r="IV195"/>
    </row>
    <row r="196" spans="1:256" s="99" customFormat="1" x14ac:dyDescent="0.35">
      <c r="A196" s="154">
        <v>10900082</v>
      </c>
      <c r="B196" s="90" t="s">
        <v>273</v>
      </c>
      <c r="C196" s="90" t="s">
        <v>274</v>
      </c>
      <c r="D196" s="91">
        <v>10303268.039999999</v>
      </c>
      <c r="E196" s="90">
        <v>0</v>
      </c>
      <c r="F196" s="90">
        <v>0</v>
      </c>
      <c r="G196" s="90">
        <v>0</v>
      </c>
      <c r="H196" s="91">
        <v>10303268.039999999</v>
      </c>
      <c r="I196" s="91">
        <v>-3288177</v>
      </c>
      <c r="J196" s="90">
        <v>0</v>
      </c>
      <c r="K196" s="91">
        <v>-1029557</v>
      </c>
      <c r="L196" s="91">
        <v>-4317734</v>
      </c>
      <c r="M196" s="91">
        <v>5985534.04</v>
      </c>
      <c r="N196" s="155">
        <v>7015091.04</v>
      </c>
      <c r="O196" s="72"/>
      <c r="P196" s="72"/>
      <c r="Q196" s="198"/>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c r="IP196"/>
      <c r="IQ196"/>
      <c r="IR196"/>
      <c r="IS196"/>
      <c r="IT196"/>
      <c r="IU196"/>
      <c r="IV196"/>
    </row>
    <row r="197" spans="1:256" s="100" customFormat="1" ht="15" thickBot="1" x14ac:dyDescent="0.4">
      <c r="A197" s="156"/>
      <c r="B197" s="157"/>
      <c r="C197" s="157"/>
      <c r="D197" s="158">
        <f>SUM(D195:D196)</f>
        <v>20606536.079999998</v>
      </c>
      <c r="E197" s="158">
        <f t="shared" ref="E197:N197" si="17">SUM(E195:E196)</f>
        <v>0</v>
      </c>
      <c r="F197" s="158">
        <f t="shared" si="17"/>
        <v>0</v>
      </c>
      <c r="G197" s="158">
        <f t="shared" si="17"/>
        <v>0</v>
      </c>
      <c r="H197" s="158">
        <f t="shared" si="17"/>
        <v>20606536.079999998</v>
      </c>
      <c r="I197" s="158">
        <f t="shared" si="17"/>
        <v>-6576354</v>
      </c>
      <c r="J197" s="158">
        <f t="shared" si="17"/>
        <v>0</v>
      </c>
      <c r="K197" s="158">
        <f t="shared" si="17"/>
        <v>-2059114</v>
      </c>
      <c r="L197" s="158">
        <f t="shared" si="17"/>
        <v>-8635468</v>
      </c>
      <c r="M197" s="158">
        <f t="shared" si="17"/>
        <v>11971068.08</v>
      </c>
      <c r="N197" s="159">
        <f t="shared" si="17"/>
        <v>14030182.08</v>
      </c>
      <c r="O197" s="359"/>
      <c r="P197" s="359"/>
      <c r="Q197" s="360"/>
      <c r="R197" s="61"/>
      <c r="S197" s="61"/>
      <c r="T197" s="61"/>
      <c r="U197" s="61"/>
      <c r="V197" s="61"/>
      <c r="W197" s="61"/>
      <c r="X197" s="61"/>
      <c r="Y197" s="61"/>
      <c r="Z197" s="61"/>
      <c r="AA197" s="61"/>
      <c r="AB197" s="61"/>
      <c r="AC197" s="61"/>
      <c r="AD197" s="61"/>
      <c r="AE197" s="61"/>
      <c r="AF197" s="61"/>
      <c r="AG197" s="61"/>
      <c r="AH197" s="61"/>
      <c r="AI197" s="61"/>
      <c r="AJ197" s="61"/>
      <c r="AK197" s="61"/>
      <c r="AL197" s="61"/>
      <c r="AM197" s="61"/>
      <c r="AN197" s="61"/>
      <c r="AO197" s="61"/>
      <c r="AP197" s="61"/>
      <c r="AQ197" s="61"/>
      <c r="AR197" s="61"/>
      <c r="AS197" s="61"/>
      <c r="AT197" s="61"/>
      <c r="AU197" s="61"/>
      <c r="AV197" s="61"/>
      <c r="AW197" s="61"/>
      <c r="AX197" s="61"/>
      <c r="AY197" s="61"/>
      <c r="AZ197" s="61"/>
      <c r="BA197" s="61"/>
      <c r="BB197" s="61"/>
      <c r="BC197" s="61"/>
      <c r="BD197" s="61"/>
      <c r="BE197" s="61"/>
      <c r="BF197" s="61"/>
      <c r="BG197" s="61"/>
      <c r="BH197" s="61"/>
      <c r="BI197" s="61"/>
      <c r="BJ197" s="61"/>
      <c r="BK197" s="61"/>
      <c r="BL197" s="61"/>
      <c r="BM197" s="61"/>
      <c r="BN197" s="61"/>
      <c r="BO197" s="61"/>
      <c r="BP197" s="61"/>
      <c r="BQ197" s="61"/>
      <c r="BR197" s="61"/>
      <c r="BS197" s="61"/>
      <c r="BT197" s="61"/>
      <c r="BU197" s="61"/>
      <c r="BV197" s="61"/>
      <c r="BW197" s="61"/>
      <c r="BX197" s="61"/>
      <c r="BY197" s="61"/>
      <c r="BZ197" s="61"/>
      <c r="CA197" s="61"/>
      <c r="CB197" s="61"/>
      <c r="CC197" s="61"/>
      <c r="CD197" s="61"/>
      <c r="CE197" s="61"/>
      <c r="CF197" s="61"/>
      <c r="CG197" s="61"/>
      <c r="CH197" s="61"/>
      <c r="CI197" s="61"/>
      <c r="CJ197" s="61"/>
      <c r="CK197" s="61"/>
      <c r="CL197" s="61"/>
      <c r="CM197" s="61"/>
      <c r="CN197" s="61"/>
      <c r="CO197" s="61"/>
      <c r="CP197" s="61"/>
      <c r="CQ197" s="61"/>
      <c r="CR197" s="61"/>
      <c r="CS197" s="61"/>
      <c r="CT197" s="61"/>
      <c r="CU197" s="61"/>
      <c r="CV197" s="61"/>
      <c r="CW197" s="61"/>
      <c r="CX197" s="61"/>
      <c r="CY197" s="61"/>
      <c r="CZ197" s="61"/>
      <c r="DA197" s="61"/>
      <c r="DB197" s="61"/>
      <c r="DC197" s="61"/>
      <c r="DD197" s="61"/>
      <c r="DE197" s="61"/>
      <c r="DF197" s="61"/>
      <c r="DG197" s="61"/>
      <c r="DH197" s="61"/>
      <c r="DI197" s="61"/>
      <c r="DJ197" s="61"/>
      <c r="DK197" s="61"/>
      <c r="DL197" s="61"/>
      <c r="DM197" s="61"/>
      <c r="DN197" s="61"/>
      <c r="DO197" s="61"/>
      <c r="DP197" s="61"/>
      <c r="DQ197" s="61"/>
      <c r="DR197" s="61"/>
      <c r="DS197" s="61"/>
      <c r="DT197" s="61"/>
      <c r="DU197" s="61"/>
      <c r="DV197" s="61"/>
      <c r="DW197" s="61"/>
      <c r="DX197" s="61"/>
      <c r="DY197" s="61"/>
      <c r="DZ197" s="61"/>
      <c r="EA197" s="61"/>
      <c r="EB197" s="61"/>
      <c r="EC197" s="61"/>
      <c r="ED197" s="61"/>
      <c r="EE197" s="61"/>
      <c r="EF197" s="61"/>
      <c r="EG197" s="61"/>
      <c r="EH197" s="61"/>
      <c r="EI197" s="61"/>
      <c r="EJ197" s="61"/>
      <c r="EK197" s="61"/>
      <c r="EL197" s="61"/>
      <c r="EM197" s="61"/>
      <c r="EN197" s="61"/>
      <c r="EO197" s="61"/>
      <c r="EP197" s="61"/>
      <c r="EQ197" s="61"/>
      <c r="ER197" s="61"/>
      <c r="ES197" s="61"/>
      <c r="ET197" s="61"/>
      <c r="EU197" s="61"/>
      <c r="EV197" s="61"/>
      <c r="EW197" s="61"/>
      <c r="EX197" s="61"/>
      <c r="EY197" s="61"/>
      <c r="EZ197" s="61"/>
      <c r="FA197" s="61"/>
      <c r="FB197" s="61"/>
      <c r="FC197" s="61"/>
      <c r="FD197" s="61"/>
      <c r="FE197" s="61"/>
      <c r="FF197" s="61"/>
      <c r="FG197" s="61"/>
      <c r="FH197" s="61"/>
      <c r="FI197" s="61"/>
      <c r="FJ197" s="61"/>
      <c r="FK197" s="61"/>
      <c r="FL197" s="61"/>
      <c r="FM197" s="61"/>
      <c r="FN197" s="61"/>
      <c r="FO197" s="61"/>
      <c r="FP197" s="61"/>
      <c r="FQ197" s="61"/>
      <c r="FR197" s="61"/>
      <c r="FS197" s="61"/>
      <c r="FT197" s="61"/>
      <c r="FU197" s="61"/>
      <c r="FV197" s="61"/>
      <c r="FW197" s="61"/>
      <c r="FX197" s="61"/>
      <c r="FY197" s="61"/>
      <c r="FZ197" s="61"/>
      <c r="GA197" s="61"/>
      <c r="GB197" s="61"/>
      <c r="GC197" s="61"/>
      <c r="GD197" s="61"/>
      <c r="GE197" s="61"/>
      <c r="GF197" s="61"/>
      <c r="GG197" s="61"/>
      <c r="GH197" s="61"/>
      <c r="GI197" s="61"/>
      <c r="GJ197" s="61"/>
      <c r="GK197" s="61"/>
      <c r="GL197" s="61"/>
      <c r="GM197" s="61"/>
      <c r="GN197" s="61"/>
      <c r="GO197" s="61"/>
      <c r="GP197" s="61"/>
      <c r="GQ197" s="61"/>
      <c r="GR197" s="61"/>
      <c r="GS197" s="61"/>
      <c r="GT197" s="61"/>
      <c r="GU197" s="61"/>
      <c r="GV197" s="61"/>
      <c r="GW197" s="61"/>
      <c r="GX197" s="61"/>
      <c r="GY197" s="61"/>
      <c r="GZ197" s="61"/>
      <c r="HA197" s="61"/>
      <c r="HB197" s="61"/>
      <c r="HC197" s="61"/>
      <c r="HD197" s="61"/>
      <c r="HE197" s="61"/>
      <c r="HF197" s="61"/>
      <c r="HG197" s="61"/>
      <c r="HH197" s="61"/>
      <c r="HI197" s="61"/>
      <c r="HJ197" s="61"/>
      <c r="HK197" s="61"/>
      <c r="HL197" s="61"/>
      <c r="HM197" s="61"/>
      <c r="HN197" s="61"/>
      <c r="HO197" s="61"/>
      <c r="HP197" s="61"/>
      <c r="HQ197" s="61"/>
      <c r="HR197" s="61"/>
      <c r="HS197" s="61"/>
      <c r="HT197" s="61"/>
      <c r="HU197" s="61"/>
      <c r="HV197" s="61"/>
      <c r="HW197" s="61"/>
      <c r="HX197" s="61"/>
      <c r="HY197" s="61"/>
      <c r="HZ197" s="61"/>
      <c r="IA197" s="61"/>
      <c r="IB197" s="61"/>
      <c r="IC197" s="61"/>
      <c r="ID197" s="61"/>
      <c r="IE197" s="61"/>
      <c r="IF197" s="61"/>
      <c r="IG197" s="61"/>
      <c r="IH197" s="61"/>
      <c r="II197" s="61"/>
      <c r="IJ197" s="61"/>
      <c r="IK197" s="61"/>
      <c r="IL197" s="61"/>
      <c r="IM197" s="61"/>
      <c r="IN197" s="61"/>
      <c r="IO197" s="61"/>
      <c r="IP197" s="61"/>
      <c r="IQ197" s="61"/>
      <c r="IR197" s="61"/>
      <c r="IS197" s="61"/>
      <c r="IT197" s="61"/>
      <c r="IU197" s="61"/>
      <c r="IV197" s="61"/>
    </row>
    <row r="198" spans="1:256" s="99" customFormat="1" ht="15" thickBot="1" x14ac:dyDescent="0.4">
      <c r="O198" s="193"/>
      <c r="P198" s="193"/>
      <c r="Q198" s="193"/>
    </row>
    <row r="199" spans="1:256" s="100" customFormat="1" x14ac:dyDescent="0.35">
      <c r="A199" s="117">
        <v>15</v>
      </c>
      <c r="B199" s="160" t="s">
        <v>102</v>
      </c>
      <c r="C199" s="119"/>
      <c r="D199" s="119"/>
      <c r="E199" s="119"/>
      <c r="F199" s="119"/>
      <c r="G199" s="119"/>
      <c r="H199" s="119"/>
      <c r="I199" s="119"/>
      <c r="J199" s="119"/>
      <c r="K199" s="119"/>
      <c r="L199" s="119"/>
      <c r="M199" s="119"/>
      <c r="N199" s="120"/>
      <c r="O199" s="206"/>
      <c r="P199" s="206"/>
      <c r="Q199" s="207"/>
    </row>
    <row r="200" spans="1:256" s="99" customFormat="1" x14ac:dyDescent="0.35">
      <c r="A200" s="107">
        <v>10900078</v>
      </c>
      <c r="B200" s="99" t="s">
        <v>244</v>
      </c>
      <c r="C200" s="99" t="s">
        <v>245</v>
      </c>
      <c r="D200" s="101">
        <v>46480928.75</v>
      </c>
      <c r="E200" s="99">
        <v>0</v>
      </c>
      <c r="F200" s="99">
        <v>0</v>
      </c>
      <c r="G200" s="99">
        <v>0</v>
      </c>
      <c r="H200" s="101">
        <f>SUM(D200:G200)</f>
        <v>46480928.75</v>
      </c>
      <c r="I200" s="101">
        <v>-9945644</v>
      </c>
      <c r="J200" s="99">
        <v>0</v>
      </c>
      <c r="K200" s="101">
        <v>-2324047</v>
      </c>
      <c r="L200" s="101">
        <f>SUM(I200:K200)</f>
        <v>-12269691</v>
      </c>
      <c r="M200" s="101">
        <v>34211237.75</v>
      </c>
      <c r="N200" s="109">
        <v>36535284.75</v>
      </c>
      <c r="O200" s="193"/>
      <c r="P200" s="193"/>
      <c r="Q200" s="209"/>
    </row>
    <row r="201" spans="1:256" s="99" customFormat="1" x14ac:dyDescent="0.35">
      <c r="A201" s="107">
        <v>10900079</v>
      </c>
      <c r="B201" s="99" t="s">
        <v>246</v>
      </c>
      <c r="C201" s="99" t="s">
        <v>245</v>
      </c>
      <c r="D201" s="101">
        <v>46480928.75</v>
      </c>
      <c r="E201" s="99">
        <v>0</v>
      </c>
      <c r="F201" s="99">
        <v>0</v>
      </c>
      <c r="G201" s="99">
        <v>0</v>
      </c>
      <c r="H201" s="101">
        <f>SUM(D201:G201)</f>
        <v>46480928.75</v>
      </c>
      <c r="I201" s="101">
        <v>-9945644</v>
      </c>
      <c r="J201" s="99">
        <v>0</v>
      </c>
      <c r="K201" s="101">
        <v>-2324047</v>
      </c>
      <c r="L201" s="101">
        <f>SUM(I201:K201)</f>
        <v>-12269691</v>
      </c>
      <c r="M201" s="101">
        <v>34211237.75</v>
      </c>
      <c r="N201" s="109">
        <v>36535284.75</v>
      </c>
      <c r="O201" s="193"/>
      <c r="P201" s="193"/>
      <c r="Q201" s="209"/>
    </row>
    <row r="202" spans="1:256" s="99" customFormat="1" x14ac:dyDescent="0.35">
      <c r="A202" s="107">
        <v>10900080</v>
      </c>
      <c r="B202" s="99" t="s">
        <v>247</v>
      </c>
      <c r="C202" s="99" t="s">
        <v>245</v>
      </c>
      <c r="D202" s="101">
        <v>46494874.43</v>
      </c>
      <c r="E202" s="99">
        <v>0</v>
      </c>
      <c r="F202" s="99">
        <v>0</v>
      </c>
      <c r="G202" s="99">
        <v>0</v>
      </c>
      <c r="H202" s="101">
        <f>SUM(D202:G202)</f>
        <v>46494874.43</v>
      </c>
      <c r="I202" s="101">
        <v>-9948630</v>
      </c>
      <c r="J202" s="99">
        <v>0</v>
      </c>
      <c r="K202" s="101">
        <v>-2324744</v>
      </c>
      <c r="L202" s="101">
        <f>SUM(I202:K202)</f>
        <v>-12273374</v>
      </c>
      <c r="M202" s="101">
        <v>34221500.43</v>
      </c>
      <c r="N202" s="109">
        <v>36546244.43</v>
      </c>
      <c r="O202" s="193"/>
      <c r="P202" s="193"/>
      <c r="Q202" s="209"/>
    </row>
    <row r="203" spans="1:256" s="99" customFormat="1" ht="15" thickBot="1" x14ac:dyDescent="0.4">
      <c r="A203" s="113"/>
      <c r="B203" s="114"/>
      <c r="C203" s="114"/>
      <c r="D203" s="121">
        <f>SUM(D200:D202)</f>
        <v>139456731.93000001</v>
      </c>
      <c r="E203" s="121">
        <f t="shared" ref="E203:N203" si="18">SUM(E200:E202)</f>
        <v>0</v>
      </c>
      <c r="F203" s="121">
        <f t="shared" si="18"/>
        <v>0</v>
      </c>
      <c r="G203" s="121">
        <f t="shared" si="18"/>
        <v>0</v>
      </c>
      <c r="H203" s="121">
        <f t="shared" si="18"/>
        <v>139456731.93000001</v>
      </c>
      <c r="I203" s="121">
        <f t="shared" si="18"/>
        <v>-29839918</v>
      </c>
      <c r="J203" s="121">
        <f t="shared" si="18"/>
        <v>0</v>
      </c>
      <c r="K203" s="121">
        <f t="shared" si="18"/>
        <v>-6972838</v>
      </c>
      <c r="L203" s="121">
        <f t="shared" si="18"/>
        <v>-36812756</v>
      </c>
      <c r="M203" s="121">
        <f t="shared" si="18"/>
        <v>102643975.93000001</v>
      </c>
      <c r="N203" s="122">
        <f t="shared" si="18"/>
        <v>109616813.93000001</v>
      </c>
      <c r="O203" s="208"/>
      <c r="P203" s="208"/>
      <c r="Q203" s="199"/>
    </row>
    <row r="204" spans="1:256" s="99" customFormat="1" x14ac:dyDescent="0.35">
      <c r="O204" s="193"/>
      <c r="P204" s="193"/>
      <c r="Q204" s="193"/>
    </row>
    <row r="205" spans="1:256" s="99" customFormat="1" ht="20" thickBot="1" x14ac:dyDescent="0.4">
      <c r="A205" s="671" t="s">
        <v>104</v>
      </c>
      <c r="B205" s="671"/>
      <c r="O205" s="193"/>
      <c r="P205" s="193"/>
      <c r="Q205" s="193"/>
    </row>
    <row r="206" spans="1:256" s="99" customFormat="1" ht="15.5" x14ac:dyDescent="0.35">
      <c r="A206" s="161" t="s">
        <v>129</v>
      </c>
      <c r="B206" s="162"/>
      <c r="C206" s="103"/>
      <c r="D206" s="103"/>
      <c r="E206" s="103"/>
      <c r="F206" s="103"/>
      <c r="G206" s="103"/>
      <c r="H206" s="103"/>
      <c r="I206" s="103"/>
      <c r="J206" s="103"/>
      <c r="K206" s="103"/>
      <c r="L206" s="103"/>
      <c r="M206" s="103"/>
      <c r="N206" s="104"/>
      <c r="O206" s="202"/>
      <c r="P206" s="202"/>
      <c r="Q206" s="195"/>
    </row>
    <row r="207" spans="1:256" s="100" customFormat="1" x14ac:dyDescent="0.35">
      <c r="A207" s="105">
        <v>22</v>
      </c>
      <c r="B207" s="95" t="s">
        <v>130</v>
      </c>
      <c r="N207" s="106"/>
      <c r="O207" s="194"/>
      <c r="P207" s="194"/>
      <c r="Q207" s="211"/>
    </row>
    <row r="208" spans="1:256" s="100" customFormat="1" ht="29" x14ac:dyDescent="0.35">
      <c r="A208" s="105">
        <v>23</v>
      </c>
      <c r="B208" s="95" t="s">
        <v>131</v>
      </c>
      <c r="N208" s="106"/>
      <c r="O208" s="194"/>
      <c r="P208" s="194"/>
      <c r="Q208" s="211"/>
    </row>
    <row r="209" spans="1:17" s="100" customFormat="1" ht="29" x14ac:dyDescent="0.35">
      <c r="A209" s="105">
        <v>24</v>
      </c>
      <c r="B209" s="93" t="s">
        <v>132</v>
      </c>
      <c r="N209" s="106"/>
      <c r="O209" s="194"/>
      <c r="P209" s="194"/>
      <c r="Q209" s="211"/>
    </row>
    <row r="210" spans="1:17" customFormat="1" ht="15" thickBot="1" x14ac:dyDescent="0.4">
      <c r="A210" s="146">
        <v>10900091</v>
      </c>
      <c r="B210" s="147" t="s">
        <v>248</v>
      </c>
      <c r="C210" s="147" t="s">
        <v>249</v>
      </c>
      <c r="D210" s="148">
        <v>7803281.54</v>
      </c>
      <c r="E210" s="147">
        <v>0</v>
      </c>
      <c r="F210" s="147">
        <v>0</v>
      </c>
      <c r="G210" s="147">
        <v>0</v>
      </c>
      <c r="H210" s="148">
        <f>SUM(D210:G210)</f>
        <v>7803281.54</v>
      </c>
      <c r="I210" s="148">
        <v>-1812049</v>
      </c>
      <c r="J210" s="147">
        <v>0</v>
      </c>
      <c r="K210" s="148">
        <v>-777667</v>
      </c>
      <c r="L210" s="148">
        <f>SUM(I210:K210)</f>
        <v>-2589716</v>
      </c>
      <c r="M210" s="148">
        <v>5213565.1900000004</v>
      </c>
      <c r="N210" s="149">
        <v>5991232.1900000004</v>
      </c>
      <c r="O210" s="210"/>
      <c r="P210" s="210"/>
      <c r="Q210" s="201"/>
    </row>
    <row r="211" spans="1:17" s="99" customFormat="1" x14ac:dyDescent="0.35">
      <c r="O211" s="193"/>
      <c r="P211" s="193"/>
      <c r="Q211" s="193"/>
    </row>
  </sheetData>
  <mergeCells count="6">
    <mergeCell ref="A205:B205"/>
    <mergeCell ref="A3:B3"/>
    <mergeCell ref="A50:B50"/>
    <mergeCell ref="A60:B60"/>
    <mergeCell ref="A109:B109"/>
    <mergeCell ref="A154:B154"/>
  </mergeCells>
  <pageMargins left="0.7" right="0.7" top="0.75" bottom="0.75" header="0.3" footer="0.3"/>
  <pageSetup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35"/>
  <sheetViews>
    <sheetView workbookViewId="0">
      <selection activeCell="C33" sqref="C33"/>
    </sheetView>
  </sheetViews>
  <sheetFormatPr defaultRowHeight="14.5" x14ac:dyDescent="0.35"/>
  <cols>
    <col min="3" max="3" width="46.54296875" customWidth="1"/>
    <col min="4" max="4" width="39.54296875" customWidth="1"/>
    <col min="5" max="5" width="19" customWidth="1"/>
  </cols>
  <sheetData>
    <row r="3" spans="2:7" ht="91.5" customHeight="1" x14ac:dyDescent="0.35">
      <c r="B3" s="532" t="s">
        <v>525</v>
      </c>
      <c r="C3" s="530" t="s">
        <v>491</v>
      </c>
      <c r="D3" s="548" t="s">
        <v>524</v>
      </c>
      <c r="E3" s="531">
        <v>330000000</v>
      </c>
    </row>
    <row r="5" spans="2:7" x14ac:dyDescent="0.35">
      <c r="C5" s="523" t="s">
        <v>526</v>
      </c>
      <c r="D5" s="520"/>
      <c r="E5" s="519"/>
    </row>
    <row r="6" spans="2:7" x14ac:dyDescent="0.35">
      <c r="C6" s="522" t="s">
        <v>527</v>
      </c>
      <c r="D6" s="533">
        <f>+'[7]P&amp;L(2)'!$E$10</f>
        <v>2569866069.8799996</v>
      </c>
      <c r="E6" s="533">
        <f>+'[7]P&amp;L(2)'!$F$10</f>
        <v>2455180349.21</v>
      </c>
    </row>
    <row r="7" spans="2:7" x14ac:dyDescent="0.35">
      <c r="C7" s="522" t="s">
        <v>528</v>
      </c>
      <c r="D7" s="533">
        <f>+'[7]P&amp;L(2)'!$E$11</f>
        <v>3200611808.9099998</v>
      </c>
      <c r="E7" s="533">
        <f>+'[7]P&amp;L(2)'!$F$11</f>
        <v>2938933339.8199997</v>
      </c>
    </row>
    <row r="8" spans="2:7" x14ac:dyDescent="0.35">
      <c r="D8" s="521">
        <f>SUM(D6:D7)</f>
        <v>5770477878.789999</v>
      </c>
      <c r="E8" s="521">
        <f>SUM(E6:E7)</f>
        <v>5394113689.0299997</v>
      </c>
    </row>
    <row r="9" spans="2:7" x14ac:dyDescent="0.35">
      <c r="D9" s="527"/>
      <c r="E9" s="527"/>
    </row>
    <row r="10" spans="2:7" x14ac:dyDescent="0.35">
      <c r="C10" s="61" t="s">
        <v>529</v>
      </c>
    </row>
    <row r="11" spans="2:7" x14ac:dyDescent="0.35">
      <c r="B11" s="90"/>
      <c r="C11" s="90"/>
      <c r="D11" s="90"/>
      <c r="E11" s="90"/>
    </row>
    <row r="12" spans="2:7" ht="15.5" x14ac:dyDescent="0.35">
      <c r="B12" s="524"/>
      <c r="C12" s="522" t="s">
        <v>530</v>
      </c>
      <c r="D12" s="525">
        <v>205255119.46000001</v>
      </c>
      <c r="E12" s="525">
        <v>196451742.78999999</v>
      </c>
    </row>
    <row r="13" spans="2:7" ht="15.5" x14ac:dyDescent="0.35">
      <c r="B13" s="524"/>
      <c r="C13" s="522" t="s">
        <v>531</v>
      </c>
      <c r="D13" s="525">
        <v>2385323</v>
      </c>
      <c r="E13" s="525">
        <v>2806761</v>
      </c>
    </row>
    <row r="14" spans="2:7" ht="15.5" x14ac:dyDescent="0.35">
      <c r="B14" s="524"/>
      <c r="C14" s="522" t="s">
        <v>532</v>
      </c>
      <c r="D14" s="525">
        <v>655032062</v>
      </c>
      <c r="E14" s="525">
        <v>668533079.77999997</v>
      </c>
      <c r="G14">
        <f>54.38+152.33</f>
        <v>206.71</v>
      </c>
    </row>
    <row r="15" spans="2:7" ht="15.5" x14ac:dyDescent="0.35">
      <c r="B15" s="524"/>
      <c r="C15" s="522" t="s">
        <v>533</v>
      </c>
      <c r="D15" s="525">
        <v>361361966.06</v>
      </c>
      <c r="E15" s="525">
        <v>392079141.98000002</v>
      </c>
    </row>
    <row r="16" spans="2:7" ht="15.5" x14ac:dyDescent="0.35">
      <c r="B16" s="524"/>
      <c r="C16" s="522" t="s">
        <v>534</v>
      </c>
      <c r="D16" s="525">
        <v>89609</v>
      </c>
      <c r="E16" s="525">
        <v>1483022</v>
      </c>
    </row>
    <row r="17" spans="2:5" ht="15.5" x14ac:dyDescent="0.35">
      <c r="B17" s="524"/>
      <c r="C17" s="522" t="s">
        <v>535</v>
      </c>
      <c r="D17" s="525">
        <v>18820138</v>
      </c>
      <c r="E17" s="525">
        <v>23369353</v>
      </c>
    </row>
    <row r="18" spans="2:5" ht="15.5" x14ac:dyDescent="0.35">
      <c r="B18" s="524"/>
      <c r="C18" s="522" t="s">
        <v>536</v>
      </c>
      <c r="D18" s="525">
        <v>90704041</v>
      </c>
      <c r="E18" s="525">
        <v>97745708.109999999</v>
      </c>
    </row>
    <row r="19" spans="2:5" x14ac:dyDescent="0.35">
      <c r="B19" s="90"/>
      <c r="C19" s="522"/>
      <c r="D19" s="526">
        <f>SUM(D12:D18)</f>
        <v>1333648258.52</v>
      </c>
      <c r="E19" s="526">
        <f>SUM(E12:E18)</f>
        <v>1382468808.6599998</v>
      </c>
    </row>
    <row r="20" spans="2:5" x14ac:dyDescent="0.35">
      <c r="D20" s="527"/>
      <c r="E20" s="527"/>
    </row>
    <row r="22" spans="2:5" x14ac:dyDescent="0.35">
      <c r="D22" s="528">
        <f>+D8-D19</f>
        <v>4436829620.2699986</v>
      </c>
      <c r="E22" s="528">
        <f>+E8-E19</f>
        <v>4011644880.3699999</v>
      </c>
    </row>
    <row r="23" spans="2:5" x14ac:dyDescent="0.35">
      <c r="D23" s="529">
        <f>+D22/12</f>
        <v>369735801.68916655</v>
      </c>
      <c r="E23" s="529">
        <f>+E22/12</f>
        <v>334303740.0308333</v>
      </c>
    </row>
    <row r="26" spans="2:5" x14ac:dyDescent="0.35">
      <c r="C26" s="522" t="s">
        <v>570</v>
      </c>
      <c r="D26" s="547">
        <v>28888475.670000002</v>
      </c>
      <c r="E26" s="547">
        <v>60858652.950000003</v>
      </c>
    </row>
    <row r="27" spans="2:5" x14ac:dyDescent="0.35">
      <c r="C27" s="522" t="s">
        <v>571</v>
      </c>
      <c r="D27" s="547">
        <v>775356.31</v>
      </c>
      <c r="E27" s="547">
        <v>31584637.289999999</v>
      </c>
    </row>
    <row r="28" spans="2:5" x14ac:dyDescent="0.35">
      <c r="C28" s="522" t="s">
        <v>572</v>
      </c>
      <c r="D28" s="547">
        <v>4310923.8</v>
      </c>
      <c r="E28" s="547">
        <v>13246793.050000001</v>
      </c>
    </row>
    <row r="29" spans="2:5" x14ac:dyDescent="0.35">
      <c r="C29" s="522" t="s">
        <v>573</v>
      </c>
      <c r="D29" s="547">
        <v>46601333.049999997</v>
      </c>
      <c r="E29" s="547">
        <v>46657178</v>
      </c>
    </row>
    <row r="30" spans="2:5" x14ac:dyDescent="0.35">
      <c r="C30" s="522" t="s">
        <v>574</v>
      </c>
      <c r="D30" s="547">
        <v>253776577.44999999</v>
      </c>
      <c r="E30" s="547">
        <v>267798761.97999999</v>
      </c>
    </row>
    <row r="31" spans="2:5" x14ac:dyDescent="0.35">
      <c r="C31" s="522" t="s">
        <v>575</v>
      </c>
      <c r="D31" s="547">
        <v>207580938.71000001</v>
      </c>
      <c r="E31" s="547">
        <v>198516419.77000001</v>
      </c>
    </row>
    <row r="32" spans="2:5" x14ac:dyDescent="0.35">
      <c r="C32" s="522" t="s">
        <v>576</v>
      </c>
      <c r="D32" s="547">
        <v>699672471.27999997</v>
      </c>
      <c r="E32" s="547">
        <v>705899815.11000001</v>
      </c>
    </row>
    <row r="33" spans="3:5" x14ac:dyDescent="0.35">
      <c r="C33" s="522" t="s">
        <v>577</v>
      </c>
      <c r="D33" s="547">
        <v>40933538.689999998</v>
      </c>
      <c r="E33" s="547">
        <v>39512395.659999996</v>
      </c>
    </row>
    <row r="34" spans="3:5" x14ac:dyDescent="0.35">
      <c r="C34" s="522" t="s">
        <v>578</v>
      </c>
      <c r="D34" s="547">
        <v>13034432.060000001</v>
      </c>
      <c r="E34" s="547">
        <v>18431562.710000001</v>
      </c>
    </row>
    <row r="35" spans="3:5" x14ac:dyDescent="0.35">
      <c r="D35" s="549">
        <f>SUM(D26:D34)</f>
        <v>1295574047.02</v>
      </c>
      <c r="E35" s="549">
        <f>SUM(E26:E34)</f>
        <v>1382506216.5200002</v>
      </c>
    </row>
  </sheetData>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47"/>
  <sheetViews>
    <sheetView topLeftCell="C28" workbookViewId="0">
      <selection activeCell="G38" sqref="G38"/>
    </sheetView>
  </sheetViews>
  <sheetFormatPr defaultColWidth="9.1796875" defaultRowHeight="14.5" x14ac:dyDescent="0.35"/>
  <cols>
    <col min="1" max="2" width="9.1796875" style="538"/>
    <col min="3" max="3" width="53.453125" style="538" bestFit="1" customWidth="1"/>
    <col min="4" max="5" width="23.1796875" style="544" customWidth="1"/>
    <col min="6" max="6" width="9.1796875" style="538"/>
    <col min="7" max="7" width="20.1796875" style="538" customWidth="1"/>
    <col min="8" max="9" width="9.1796875" style="538"/>
    <col min="10" max="10" width="24" style="538" customWidth="1"/>
    <col min="11" max="16384" width="9.1796875" style="538"/>
  </cols>
  <sheetData>
    <row r="2" spans="3:7" x14ac:dyDescent="0.35">
      <c r="C2" s="536" t="s">
        <v>538</v>
      </c>
    </row>
    <row r="4" spans="3:7" x14ac:dyDescent="0.35">
      <c r="C4" s="536" t="s">
        <v>539</v>
      </c>
    </row>
    <row r="6" spans="3:7" x14ac:dyDescent="0.35">
      <c r="C6" s="534"/>
      <c r="D6" s="545" t="s">
        <v>540</v>
      </c>
      <c r="E6" s="545" t="s">
        <v>161</v>
      </c>
    </row>
    <row r="7" spans="3:7" x14ac:dyDescent="0.35">
      <c r="C7" s="539" t="s">
        <v>541</v>
      </c>
    </row>
    <row r="8" spans="3:7" x14ac:dyDescent="0.35">
      <c r="C8" s="534" t="s">
        <v>542</v>
      </c>
      <c r="D8" s="544">
        <v>357783595.93000001</v>
      </c>
      <c r="E8" s="544">
        <v>369294646.29000002</v>
      </c>
    </row>
    <row r="9" spans="3:7" x14ac:dyDescent="0.35">
      <c r="C9" s="534" t="s">
        <v>543</v>
      </c>
      <c r="D9" s="544">
        <v>1761908.9</v>
      </c>
      <c r="E9" s="544">
        <v>1745900.02</v>
      </c>
    </row>
    <row r="10" spans="3:7" x14ac:dyDescent="0.35">
      <c r="C10" s="534" t="s">
        <v>544</v>
      </c>
      <c r="D10" s="544">
        <v>20965374.440000001</v>
      </c>
      <c r="E10" s="544">
        <v>22939581.969999999</v>
      </c>
    </row>
    <row r="11" spans="3:7" x14ac:dyDescent="0.35">
      <c r="C11" s="534" t="s">
        <v>545</v>
      </c>
      <c r="D11" s="544">
        <v>71314479.569999993</v>
      </c>
      <c r="E11" s="544">
        <v>75845109.150000006</v>
      </c>
    </row>
    <row r="12" spans="3:7" x14ac:dyDescent="0.35">
      <c r="C12" s="534" t="s">
        <v>546</v>
      </c>
      <c r="D12" s="544">
        <v>3392609.15</v>
      </c>
      <c r="E12" s="544">
        <v>3902030.24</v>
      </c>
    </row>
    <row r="13" spans="3:7" x14ac:dyDescent="0.35">
      <c r="C13" s="534" t="s">
        <v>547</v>
      </c>
      <c r="D13" s="544">
        <v>73528499.730000004</v>
      </c>
      <c r="E13" s="544">
        <v>69978082.980000004</v>
      </c>
    </row>
    <row r="14" spans="3:7" x14ac:dyDescent="0.35">
      <c r="C14" s="534" t="s">
        <v>548</v>
      </c>
      <c r="D14" s="544">
        <v>24000</v>
      </c>
      <c r="E14" s="544">
        <v>98500</v>
      </c>
    </row>
    <row r="15" spans="3:7" x14ac:dyDescent="0.35">
      <c r="C15" s="535" t="s">
        <v>174</v>
      </c>
      <c r="D15" s="540">
        <f>SUM(D8:D14)</f>
        <v>528770467.71999997</v>
      </c>
      <c r="E15" s="540">
        <f>SUM(E8:E14)</f>
        <v>543803850.64999998</v>
      </c>
      <c r="G15" s="546">
        <f>+E8+E9+E11+E12+E14</f>
        <v>450886185.70000005</v>
      </c>
    </row>
    <row r="16" spans="3:7" x14ac:dyDescent="0.35">
      <c r="C16" s="534"/>
    </row>
    <row r="17" spans="3:7" x14ac:dyDescent="0.35">
      <c r="C17" s="539" t="s">
        <v>549</v>
      </c>
    </row>
    <row r="18" spans="3:7" x14ac:dyDescent="0.35">
      <c r="C18" s="534" t="s">
        <v>550</v>
      </c>
      <c r="D18" s="544">
        <v>180297434.90000001</v>
      </c>
      <c r="E18" s="544">
        <v>176906465.44999999</v>
      </c>
    </row>
    <row r="19" spans="3:7" x14ac:dyDescent="0.35">
      <c r="C19" s="534" t="s">
        <v>551</v>
      </c>
      <c r="D19" s="544">
        <v>65733524.609999999</v>
      </c>
      <c r="E19" s="544">
        <v>64194815.219999999</v>
      </c>
    </row>
    <row r="20" spans="3:7" x14ac:dyDescent="0.35">
      <c r="C20" s="534" t="s">
        <v>552</v>
      </c>
      <c r="D20" s="544">
        <v>2846425</v>
      </c>
      <c r="E20" s="544">
        <v>6654463.1100000003</v>
      </c>
    </row>
    <row r="21" spans="3:7" x14ac:dyDescent="0.35">
      <c r="C21" s="534" t="s">
        <v>553</v>
      </c>
      <c r="D21" s="544">
        <v>90943313.239999995</v>
      </c>
      <c r="E21" s="544">
        <v>88301128.349999994</v>
      </c>
    </row>
    <row r="22" spans="3:7" x14ac:dyDescent="0.35">
      <c r="C22" s="534" t="s">
        <v>554</v>
      </c>
      <c r="D22" s="544">
        <v>800145707.96000004</v>
      </c>
      <c r="E22" s="544">
        <v>822442653.08000004</v>
      </c>
    </row>
    <row r="23" spans="3:7" x14ac:dyDescent="0.35">
      <c r="C23" s="534" t="s">
        <v>555</v>
      </c>
      <c r="D23" s="544">
        <v>8164064.5700000003</v>
      </c>
      <c r="E23" s="544">
        <v>6734922.9800000004</v>
      </c>
    </row>
    <row r="24" spans="3:7" x14ac:dyDescent="0.35">
      <c r="C24" s="534" t="s">
        <v>556</v>
      </c>
      <c r="D24" s="544">
        <v>33950563.189999998</v>
      </c>
      <c r="E24" s="544">
        <v>27168969.25</v>
      </c>
    </row>
    <row r="25" spans="3:7" x14ac:dyDescent="0.35">
      <c r="C25" s="534" t="s">
        <v>557</v>
      </c>
      <c r="D25" s="544">
        <v>370473278.55000001</v>
      </c>
      <c r="E25" s="544">
        <v>330909217.26999998</v>
      </c>
    </row>
    <row r="26" spans="3:7" x14ac:dyDescent="0.35">
      <c r="C26" s="534" t="s">
        <v>548</v>
      </c>
      <c r="D26" s="544">
        <v>66474.399999999994</v>
      </c>
      <c r="E26" s="544">
        <v>2901.27</v>
      </c>
    </row>
    <row r="27" spans="3:7" x14ac:dyDescent="0.35">
      <c r="C27" s="537" t="s">
        <v>174</v>
      </c>
      <c r="D27" s="540">
        <f>SUM(D18:D26)</f>
        <v>1552620786.4200001</v>
      </c>
      <c r="E27" s="540">
        <f>SUM(E18:E26)</f>
        <v>1523315535.98</v>
      </c>
      <c r="G27" s="546">
        <f>+E18+E19+E20+E21+E22+E23+E26</f>
        <v>1165237349.46</v>
      </c>
    </row>
    <row r="29" spans="3:7" x14ac:dyDescent="0.35">
      <c r="C29" s="536" t="s">
        <v>558</v>
      </c>
      <c r="D29" s="540"/>
      <c r="E29" s="541"/>
    </row>
    <row r="30" spans="3:7" x14ac:dyDescent="0.35">
      <c r="C30" s="534" t="s">
        <v>559</v>
      </c>
      <c r="D30" s="542">
        <v>145776740.22</v>
      </c>
      <c r="E30" s="541">
        <v>173466472.06999999</v>
      </c>
    </row>
    <row r="31" spans="3:7" x14ac:dyDescent="0.35">
      <c r="C31" s="534" t="s">
        <v>560</v>
      </c>
      <c r="D31" s="542">
        <v>86000215.900000006</v>
      </c>
      <c r="E31" s="541">
        <v>97387274.790000007</v>
      </c>
    </row>
    <row r="32" spans="3:7" x14ac:dyDescent="0.35">
      <c r="C32" s="537" t="s">
        <v>174</v>
      </c>
      <c r="D32" s="543">
        <f>SUM(D30:D31)</f>
        <v>231776956.12</v>
      </c>
      <c r="E32" s="543">
        <f>SUM(E30:E31)</f>
        <v>270853746.86000001</v>
      </c>
    </row>
    <row r="33" spans="3:10" x14ac:dyDescent="0.35">
      <c r="C33" s="536" t="s">
        <v>561</v>
      </c>
      <c r="D33" s="540"/>
      <c r="E33" s="541"/>
    </row>
    <row r="34" spans="3:10" x14ac:dyDescent="0.35">
      <c r="C34" s="534" t="s">
        <v>562</v>
      </c>
      <c r="D34" s="542">
        <v>323575951.13999999</v>
      </c>
      <c r="E34" s="541">
        <v>361240915.69</v>
      </c>
      <c r="I34" s="538">
        <v>355.87</v>
      </c>
    </row>
    <row r="35" spans="3:10" x14ac:dyDescent="0.35">
      <c r="C35" s="534" t="s">
        <v>563</v>
      </c>
      <c r="D35" s="542">
        <v>122625217.75</v>
      </c>
      <c r="E35" s="541">
        <v>134980939.69999999</v>
      </c>
      <c r="I35" s="538">
        <v>138.25</v>
      </c>
      <c r="J35" s="538">
        <f>+I34-I35</f>
        <v>217.62</v>
      </c>
    </row>
    <row r="36" spans="3:10" x14ac:dyDescent="0.35">
      <c r="C36" s="534" t="s">
        <v>564</v>
      </c>
      <c r="D36" s="542">
        <v>20900370.940000001</v>
      </c>
      <c r="E36" s="541">
        <v>21895471.91</v>
      </c>
      <c r="J36" s="546">
        <v>194.26</v>
      </c>
    </row>
    <row r="37" spans="3:10" x14ac:dyDescent="0.35">
      <c r="C37" s="534" t="s">
        <v>565</v>
      </c>
      <c r="D37" s="542">
        <v>229545051.62</v>
      </c>
      <c r="E37" s="541">
        <v>238223427.55000001</v>
      </c>
      <c r="I37" s="538">
        <v>101.36</v>
      </c>
      <c r="J37" s="546">
        <f>+J35-J36</f>
        <v>23.360000000000014</v>
      </c>
    </row>
    <row r="38" spans="3:10" x14ac:dyDescent="0.35">
      <c r="C38" s="534" t="s">
        <v>566</v>
      </c>
      <c r="D38" s="542">
        <v>9152220.2799999993</v>
      </c>
      <c r="E38" s="541">
        <v>9673400.3200000003</v>
      </c>
      <c r="I38" s="538">
        <f>+I35-I37</f>
        <v>36.89</v>
      </c>
    </row>
    <row r="39" spans="3:10" x14ac:dyDescent="0.35">
      <c r="C39" s="534" t="s">
        <v>567</v>
      </c>
      <c r="D39" s="542">
        <v>137357457.50999999</v>
      </c>
      <c r="E39" s="541">
        <v>154138530.19</v>
      </c>
    </row>
    <row r="40" spans="3:10" x14ac:dyDescent="0.35">
      <c r="C40" s="534" t="s">
        <v>568</v>
      </c>
      <c r="D40" s="542">
        <v>277973061.26999998</v>
      </c>
      <c r="E40" s="541">
        <v>300504145.64999998</v>
      </c>
    </row>
    <row r="41" spans="3:10" x14ac:dyDescent="0.35">
      <c r="C41" s="534" t="s">
        <v>548</v>
      </c>
      <c r="D41" s="542">
        <v>26648.560000000001</v>
      </c>
      <c r="E41" s="541">
        <v>116150.59</v>
      </c>
    </row>
    <row r="42" spans="3:10" x14ac:dyDescent="0.35">
      <c r="C42" s="537" t="s">
        <v>174</v>
      </c>
      <c r="D42" s="543">
        <f>SUM(D34:D41)</f>
        <v>1121155979.0699999</v>
      </c>
      <c r="E42" s="543">
        <f>SUM(E34:E41)</f>
        <v>1220772981.6000001</v>
      </c>
    </row>
    <row r="44" spans="3:10" x14ac:dyDescent="0.35">
      <c r="C44" s="535" t="s">
        <v>150</v>
      </c>
      <c r="D44" s="540">
        <f>+D15+D27+D32+D42</f>
        <v>3434324189.3299999</v>
      </c>
      <c r="E44" s="540">
        <f>+E15+E27+E32+E42</f>
        <v>3558746115.0900002</v>
      </c>
    </row>
    <row r="47" spans="3:10" x14ac:dyDescent="0.35">
      <c r="C47" s="538" t="s">
        <v>569</v>
      </c>
      <c r="D47" s="544">
        <v>3763493384.2800002</v>
      </c>
      <c r="E47" s="544">
        <v>3150525494.1900001</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workbookViewId="0">
      <selection activeCell="G9" sqref="G9"/>
    </sheetView>
  </sheetViews>
  <sheetFormatPr defaultRowHeight="14.5" x14ac:dyDescent="0.35"/>
  <cols>
    <col min="3" max="3" width="26.81640625" bestFit="1" customWidth="1"/>
    <col min="4" max="4" width="10" bestFit="1" customWidth="1"/>
    <col min="6" max="6" width="17.54296875" style="558" bestFit="1" customWidth="1"/>
  </cols>
  <sheetData>
    <row r="2" spans="2:7" x14ac:dyDescent="0.35">
      <c r="C2" t="s">
        <v>581</v>
      </c>
      <c r="F2" s="558">
        <v>3972348847</v>
      </c>
    </row>
    <row r="3" spans="2:7" x14ac:dyDescent="0.35">
      <c r="C3" t="s">
        <v>582</v>
      </c>
    </row>
    <row r="5" spans="2:7" x14ac:dyDescent="0.35">
      <c r="B5">
        <v>1</v>
      </c>
      <c r="C5" s="590" t="s">
        <v>145</v>
      </c>
      <c r="D5">
        <v>36000</v>
      </c>
      <c r="E5">
        <v>34200</v>
      </c>
      <c r="F5" s="558">
        <f>D5-E5</f>
        <v>1800</v>
      </c>
      <c r="G5" t="s">
        <v>603</v>
      </c>
    </row>
    <row r="7" spans="2:7" x14ac:dyDescent="0.35">
      <c r="B7">
        <v>2</v>
      </c>
      <c r="C7" s="551" t="s">
        <v>599</v>
      </c>
      <c r="D7">
        <v>68644</v>
      </c>
      <c r="E7">
        <v>0</v>
      </c>
      <c r="F7" s="558">
        <f>D7-E7</f>
        <v>68644</v>
      </c>
      <c r="G7" t="s">
        <v>603</v>
      </c>
    </row>
    <row r="8" spans="2:7" x14ac:dyDescent="0.35">
      <c r="B8">
        <v>3</v>
      </c>
      <c r="C8" t="s">
        <v>617</v>
      </c>
      <c r="D8">
        <v>35460000</v>
      </c>
      <c r="E8">
        <v>33687000</v>
      </c>
      <c r="F8" s="558">
        <v>1773000</v>
      </c>
      <c r="G8" t="s">
        <v>618</v>
      </c>
    </row>
    <row r="9" spans="2:7" x14ac:dyDescent="0.35">
      <c r="B9">
        <v>4</v>
      </c>
      <c r="C9" s="692" t="s">
        <v>619</v>
      </c>
      <c r="D9">
        <v>29700000</v>
      </c>
      <c r="E9">
        <v>19750500</v>
      </c>
      <c r="F9" s="558">
        <v>9949500</v>
      </c>
      <c r="G9" t="s">
        <v>618</v>
      </c>
    </row>
    <row r="11" spans="2:7" x14ac:dyDescent="0.35">
      <c r="C11" t="s">
        <v>584</v>
      </c>
    </row>
    <row r="12" spans="2:7" x14ac:dyDescent="0.35">
      <c r="B12">
        <v>1</v>
      </c>
      <c r="C12" s="591" t="s">
        <v>594</v>
      </c>
      <c r="D12" s="552">
        <v>36144</v>
      </c>
      <c r="E12">
        <v>0</v>
      </c>
      <c r="F12" s="558">
        <f>D12-E12</f>
        <v>36144</v>
      </c>
      <c r="G12" t="s">
        <v>604</v>
      </c>
    </row>
    <row r="14" spans="2:7" x14ac:dyDescent="0.35">
      <c r="B14">
        <v>2</v>
      </c>
      <c r="C14" t="s">
        <v>600</v>
      </c>
      <c r="D14">
        <v>78700000</v>
      </c>
      <c r="E14">
        <v>0</v>
      </c>
      <c r="F14" s="558">
        <f>D14-E14</f>
        <v>78700000</v>
      </c>
      <c r="G14" t="s">
        <v>605</v>
      </c>
    </row>
    <row r="16" spans="2:7" x14ac:dyDescent="0.35">
      <c r="B16">
        <v>3</v>
      </c>
      <c r="C16" t="s">
        <v>601</v>
      </c>
      <c r="D16">
        <v>177055267</v>
      </c>
      <c r="E16">
        <v>0</v>
      </c>
      <c r="F16" s="558">
        <f>D16-E16</f>
        <v>177055267</v>
      </c>
      <c r="G16" t="s">
        <v>602</v>
      </c>
    </row>
    <row r="18" spans="3:6" x14ac:dyDescent="0.35">
      <c r="C18" t="s">
        <v>585</v>
      </c>
      <c r="F18" s="558">
        <f>F2-F5-F7-F8-F9+F12+F14+F16</f>
        <v>4216347314</v>
      </c>
    </row>
    <row r="20" spans="3:6" x14ac:dyDescent="0.35">
      <c r="F20" s="558">
        <f>F18-'2024'!K89</f>
        <v>2.648566722869873</v>
      </c>
    </row>
    <row r="24" spans="3:6" hidden="1" x14ac:dyDescent="0.35">
      <c r="C24" t="s">
        <v>586</v>
      </c>
    </row>
    <row r="25" spans="3:6" hidden="1" x14ac:dyDescent="0.35">
      <c r="C25" t="s">
        <v>587</v>
      </c>
      <c r="F25" s="558">
        <v>7157997171.8599997</v>
      </c>
    </row>
    <row r="26" spans="3:6" hidden="1" x14ac:dyDescent="0.35">
      <c r="C26" t="s">
        <v>588</v>
      </c>
      <c r="F26" s="558">
        <v>3673015357.4299998</v>
      </c>
    </row>
    <row r="27" spans="3:6" hidden="1" x14ac:dyDescent="0.35">
      <c r="C27" t="s">
        <v>589</v>
      </c>
      <c r="F27" s="558">
        <f>F25-F26</f>
        <v>3484981814.4299998</v>
      </c>
    </row>
    <row r="28" spans="3:6" hidden="1" x14ac:dyDescent="0.35">
      <c r="C28" t="s">
        <v>590</v>
      </c>
      <c r="F28" s="558">
        <f>F27/12</f>
        <v>290415151.20249999</v>
      </c>
    </row>
    <row r="29" spans="3:6" hidden="1" x14ac:dyDescent="0.35">
      <c r="C29" t="s">
        <v>591</v>
      </c>
      <c r="F29" s="558" t="s">
        <v>592</v>
      </c>
    </row>
    <row r="30" spans="3:6" hidden="1" x14ac:dyDescent="0.3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4"/>
  <sheetViews>
    <sheetView tabSelected="1" workbookViewId="0">
      <selection activeCell="B14" sqref="B14"/>
    </sheetView>
  </sheetViews>
  <sheetFormatPr defaultRowHeight="14.5" x14ac:dyDescent="0.35"/>
  <cols>
    <col min="1" max="1" width="31.36328125" bestFit="1" customWidth="1"/>
    <col min="2" max="2" width="18.54296875" bestFit="1" customWidth="1"/>
  </cols>
  <sheetData>
    <row r="2" spans="1:2" x14ac:dyDescent="0.35">
      <c r="A2" s="643" t="s">
        <v>615</v>
      </c>
      <c r="B2" s="643"/>
    </row>
    <row r="3" spans="1:2" x14ac:dyDescent="0.35">
      <c r="A3" s="624" t="s">
        <v>606</v>
      </c>
      <c r="B3" s="625" t="s">
        <v>607</v>
      </c>
    </row>
    <row r="4" spans="1:2" x14ac:dyDescent="0.35">
      <c r="A4" s="62" t="s">
        <v>608</v>
      </c>
      <c r="B4" s="616">
        <f>'2024'!I16</f>
        <v>303609731</v>
      </c>
    </row>
    <row r="5" spans="1:2" x14ac:dyDescent="0.35">
      <c r="A5" s="62" t="s">
        <v>609</v>
      </c>
      <c r="B5" s="616">
        <f>'2024'!I49</f>
        <v>4456434023.3999996</v>
      </c>
    </row>
    <row r="6" spans="1:2" x14ac:dyDescent="0.35">
      <c r="A6" s="62" t="s">
        <v>610</v>
      </c>
      <c r="B6" s="616">
        <f>'2024'!I84</f>
        <v>6117502</v>
      </c>
    </row>
    <row r="7" spans="1:2" x14ac:dyDescent="0.35">
      <c r="A7" s="62" t="s">
        <v>611</v>
      </c>
      <c r="B7" s="616">
        <f>'2024'!I87</f>
        <v>998400000</v>
      </c>
    </row>
    <row r="8" spans="1:2" x14ac:dyDescent="0.35">
      <c r="A8" s="618" t="s">
        <v>613</v>
      </c>
      <c r="B8" s="619">
        <f>SUM(B4:B7)</f>
        <v>5764561256.3999996</v>
      </c>
    </row>
    <row r="9" spans="1:2" x14ac:dyDescent="0.35">
      <c r="A9" s="644" t="s">
        <v>616</v>
      </c>
      <c r="B9" s="644"/>
    </row>
    <row r="10" spans="1:2" x14ac:dyDescent="0.35">
      <c r="A10" s="64" t="s">
        <v>606</v>
      </c>
      <c r="B10" s="625" t="s">
        <v>607</v>
      </c>
    </row>
    <row r="11" spans="1:2" x14ac:dyDescent="0.35">
      <c r="A11" s="62" t="s">
        <v>612</v>
      </c>
      <c r="B11" s="616">
        <f>'2024'!I66</f>
        <v>751346150</v>
      </c>
    </row>
    <row r="12" spans="1:2" x14ac:dyDescent="0.35">
      <c r="A12" s="620" t="s">
        <v>613</v>
      </c>
      <c r="B12" s="621">
        <f>B11</f>
        <v>751346150</v>
      </c>
    </row>
    <row r="13" spans="1:2" x14ac:dyDescent="0.35">
      <c r="B13" s="617"/>
    </row>
    <row r="14" spans="1:2" x14ac:dyDescent="0.35">
      <c r="A14" s="622" t="s">
        <v>614</v>
      </c>
      <c r="B14" s="623">
        <f>B8+B12</f>
        <v>6515907406.3999996</v>
      </c>
    </row>
  </sheetData>
  <mergeCells count="2">
    <mergeCell ref="A2:B2"/>
    <mergeCell ref="A9:B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136"/>
  <sheetViews>
    <sheetView topLeftCell="A39" zoomScale="70" zoomScaleNormal="70" workbookViewId="0">
      <selection activeCell="I49" sqref="I49"/>
    </sheetView>
  </sheetViews>
  <sheetFormatPr defaultColWidth="9.1796875" defaultRowHeight="14" x14ac:dyDescent="0.35"/>
  <cols>
    <col min="1" max="1" width="5.7265625" style="443" customWidth="1"/>
    <col min="2" max="2" width="7.26953125" style="444" customWidth="1"/>
    <col min="3" max="3" width="51.453125" style="445" customWidth="1"/>
    <col min="4" max="4" width="10.54296875" style="444" hidden="1" customWidth="1"/>
    <col min="5" max="5" width="9.81640625" style="444" hidden="1" customWidth="1"/>
    <col min="6" max="6" width="20.1796875" style="446" hidden="1" customWidth="1"/>
    <col min="7" max="7" width="22.453125" style="446" hidden="1" customWidth="1"/>
    <col min="8" max="8" width="20" style="446" hidden="1" customWidth="1"/>
    <col min="9" max="9" width="26.1796875" style="446" customWidth="1"/>
    <col min="10" max="10" width="22.453125" style="446" customWidth="1"/>
    <col min="11" max="11" width="25.7265625" style="446" customWidth="1"/>
    <col min="12" max="12" width="15.1796875" style="446" hidden="1" customWidth="1"/>
    <col min="13" max="14" width="13.453125" style="446" hidden="1" customWidth="1"/>
    <col min="15" max="15" width="15.26953125" style="446" hidden="1" customWidth="1"/>
    <col min="16" max="16" width="23.7265625" style="443" hidden="1" customWidth="1"/>
    <col min="17" max="17" width="34" style="445" customWidth="1"/>
    <col min="18" max="18" width="32.1796875" style="445" hidden="1" customWidth="1"/>
    <col min="19" max="19" width="39.81640625" style="443" hidden="1" customWidth="1"/>
    <col min="20" max="20" width="9.1796875" style="443"/>
    <col min="21" max="21" width="16.26953125" style="443" bestFit="1" customWidth="1"/>
    <col min="22" max="16384" width="9.1796875" style="443"/>
  </cols>
  <sheetData>
    <row r="1" spans="1:19" x14ac:dyDescent="0.35">
      <c r="A1" s="443" t="s">
        <v>153</v>
      </c>
      <c r="B1" s="645" t="s">
        <v>593</v>
      </c>
      <c r="C1" s="645"/>
      <c r="D1" s="645"/>
      <c r="E1" s="645"/>
      <c r="F1" s="645"/>
      <c r="G1" s="645"/>
      <c r="H1" s="645"/>
      <c r="I1" s="645"/>
      <c r="J1" s="645"/>
      <c r="K1" s="645"/>
    </row>
    <row r="2" spans="1:19" ht="18" x14ac:dyDescent="0.35">
      <c r="B2" s="645"/>
      <c r="C2" s="645"/>
      <c r="D2" s="645"/>
      <c r="E2" s="645"/>
      <c r="F2" s="645"/>
      <c r="G2" s="645"/>
      <c r="H2" s="645"/>
      <c r="I2" s="645"/>
      <c r="J2" s="645"/>
      <c r="K2" s="645"/>
      <c r="L2" s="559"/>
      <c r="M2" s="559"/>
      <c r="N2" s="559"/>
      <c r="O2" s="559"/>
      <c r="P2" s="559"/>
      <c r="Q2" s="559"/>
      <c r="R2" s="494"/>
    </row>
    <row r="3" spans="1:19" ht="18" x14ac:dyDescent="0.35">
      <c r="B3" s="561"/>
      <c r="C3" s="561"/>
      <c r="D3" s="561"/>
      <c r="E3" s="561"/>
      <c r="F3" s="561"/>
      <c r="G3" s="561"/>
      <c r="H3" s="561"/>
      <c r="I3" s="561"/>
      <c r="J3" s="561"/>
      <c r="K3" s="561"/>
      <c r="L3" s="561"/>
      <c r="M3" s="561"/>
      <c r="N3" s="561"/>
      <c r="O3" s="561"/>
      <c r="P3" s="561"/>
      <c r="Q3" s="561"/>
      <c r="R3" s="494"/>
    </row>
    <row r="4" spans="1:19" ht="18" x14ac:dyDescent="0.35">
      <c r="B4" s="645" t="s">
        <v>512</v>
      </c>
      <c r="C4" s="645"/>
      <c r="D4" s="645"/>
      <c r="E4" s="645"/>
      <c r="F4" s="645"/>
      <c r="G4" s="645"/>
      <c r="H4" s="645"/>
      <c r="I4" s="645"/>
      <c r="J4" s="645"/>
      <c r="K4" s="645"/>
      <c r="L4" s="645"/>
      <c r="M4" s="645"/>
      <c r="N4" s="645"/>
      <c r="O4" s="645"/>
      <c r="P4" s="645"/>
      <c r="Q4" s="645"/>
      <c r="R4" s="494"/>
    </row>
    <row r="5" spans="1:19" x14ac:dyDescent="0.35">
      <c r="B5" s="494"/>
      <c r="C5" s="494"/>
      <c r="D5" s="494"/>
      <c r="E5" s="494"/>
      <c r="F5" s="494"/>
      <c r="G5" s="494"/>
      <c r="H5" s="494"/>
      <c r="I5" s="494"/>
      <c r="J5" s="494"/>
      <c r="K5" s="494"/>
      <c r="L5" s="494"/>
      <c r="M5" s="494"/>
      <c r="N5" s="494"/>
      <c r="O5" s="494"/>
      <c r="P5" s="494"/>
      <c r="Q5" s="494"/>
      <c r="R5" s="494"/>
    </row>
    <row r="6" spans="1:19" ht="42" x14ac:dyDescent="0.35">
      <c r="A6" s="646"/>
      <c r="B6" s="655" t="s">
        <v>0</v>
      </c>
      <c r="C6" s="655" t="s">
        <v>1</v>
      </c>
      <c r="D6" s="655" t="s">
        <v>2</v>
      </c>
      <c r="E6" s="570" t="s">
        <v>363</v>
      </c>
      <c r="F6" s="448" t="s">
        <v>362</v>
      </c>
      <c r="G6" s="652" t="s">
        <v>360</v>
      </c>
      <c r="H6" s="652"/>
      <c r="I6" s="652" t="s">
        <v>359</v>
      </c>
      <c r="J6" s="652"/>
      <c r="K6" s="652"/>
      <c r="L6" s="449"/>
      <c r="M6" s="449"/>
      <c r="N6" s="449"/>
      <c r="O6" s="449"/>
      <c r="P6" s="447"/>
      <c r="Q6" s="450"/>
    </row>
    <row r="7" spans="1:19" s="452" customFormat="1" ht="28" x14ac:dyDescent="0.35">
      <c r="A7" s="647"/>
      <c r="B7" s="655"/>
      <c r="C7" s="655"/>
      <c r="D7" s="655"/>
      <c r="E7" s="567" t="s">
        <v>269</v>
      </c>
      <c r="F7" s="567" t="s">
        <v>155</v>
      </c>
      <c r="G7" s="567" t="s">
        <v>357</v>
      </c>
      <c r="H7" s="567" t="s">
        <v>358</v>
      </c>
      <c r="I7" s="567" t="s">
        <v>185</v>
      </c>
      <c r="J7" s="567" t="s">
        <v>186</v>
      </c>
      <c r="K7" s="567" t="s">
        <v>411</v>
      </c>
      <c r="L7" s="567" t="s">
        <v>4</v>
      </c>
      <c r="M7" s="567" t="s">
        <v>5</v>
      </c>
      <c r="N7" s="567" t="s">
        <v>6</v>
      </c>
      <c r="O7" s="567" t="s">
        <v>154</v>
      </c>
      <c r="P7" s="567" t="s">
        <v>3</v>
      </c>
      <c r="Q7" s="567" t="s">
        <v>156</v>
      </c>
      <c r="R7" s="451" t="s">
        <v>438</v>
      </c>
      <c r="S7" s="452" t="s">
        <v>414</v>
      </c>
    </row>
    <row r="8" spans="1:19" s="452" customFormat="1" x14ac:dyDescent="0.35">
      <c r="A8" s="565"/>
      <c r="B8" s="566" t="s">
        <v>504</v>
      </c>
      <c r="C8" s="654" t="s">
        <v>7</v>
      </c>
      <c r="D8" s="654"/>
      <c r="E8" s="654"/>
      <c r="F8" s="654"/>
      <c r="G8" s="654"/>
      <c r="H8" s="654"/>
      <c r="I8" s="654"/>
      <c r="J8" s="654"/>
      <c r="K8" s="654"/>
      <c r="L8" s="654"/>
      <c r="M8" s="654"/>
      <c r="N8" s="654"/>
      <c r="O8" s="654"/>
      <c r="P8" s="654"/>
      <c r="Q8" s="654"/>
      <c r="R8" s="453"/>
    </row>
    <row r="9" spans="1:19" ht="84" x14ac:dyDescent="0.35">
      <c r="A9" s="447">
        <v>1</v>
      </c>
      <c r="B9" s="454">
        <v>1</v>
      </c>
      <c r="C9" s="467" t="s">
        <v>11</v>
      </c>
      <c r="D9" s="570">
        <v>1</v>
      </c>
      <c r="E9" s="570" t="s">
        <v>265</v>
      </c>
      <c r="F9" s="455">
        <v>30000000</v>
      </c>
      <c r="G9" s="455">
        <f>Annexures!D10</f>
        <v>91839658.120000005</v>
      </c>
      <c r="H9" s="455">
        <f>Annexures!M10</f>
        <v>2</v>
      </c>
      <c r="I9" s="455">
        <f>Annexures!O10</f>
        <v>72000000</v>
      </c>
      <c r="J9" s="455">
        <f>Annexures!P10</f>
        <v>68400000</v>
      </c>
      <c r="K9" s="455">
        <f>Annexures!Q10</f>
        <v>3599999.9999999991</v>
      </c>
      <c r="L9" s="463">
        <v>39000</v>
      </c>
      <c r="M9" s="463">
        <f t="shared" ref="M9:M15" si="0">L9*18%</f>
        <v>7020</v>
      </c>
      <c r="N9" s="463">
        <v>3000</v>
      </c>
      <c r="O9" s="463">
        <f t="shared" ref="O9:O15" si="1">L9+M9+N9</f>
        <v>49020</v>
      </c>
      <c r="P9" s="447" t="s">
        <v>10</v>
      </c>
      <c r="Q9" s="563" t="s">
        <v>12</v>
      </c>
      <c r="R9" s="456" t="s">
        <v>417</v>
      </c>
      <c r="S9" s="576" t="s">
        <v>418</v>
      </c>
    </row>
    <row r="10" spans="1:19" ht="28" x14ac:dyDescent="0.35">
      <c r="A10" s="447">
        <v>2</v>
      </c>
      <c r="B10" s="454">
        <v>2</v>
      </c>
      <c r="C10" s="467" t="s">
        <v>521</v>
      </c>
      <c r="D10" s="570">
        <v>1</v>
      </c>
      <c r="E10" s="570" t="s">
        <v>522</v>
      </c>
      <c r="F10" s="455">
        <v>0</v>
      </c>
      <c r="G10" s="455">
        <v>0</v>
      </c>
      <c r="H10" s="455">
        <v>0</v>
      </c>
      <c r="I10" s="455">
        <v>29719054</v>
      </c>
      <c r="J10" s="455">
        <v>0</v>
      </c>
      <c r="K10" s="455">
        <f t="shared" ref="K10:K15" si="2">I10-J10</f>
        <v>29719054</v>
      </c>
      <c r="L10" s="463"/>
      <c r="M10" s="463"/>
      <c r="N10" s="463"/>
      <c r="O10" s="463"/>
      <c r="P10" s="447"/>
      <c r="Q10" s="563"/>
      <c r="R10" s="456"/>
      <c r="S10" s="576"/>
    </row>
    <row r="11" spans="1:19" ht="111.75" customHeight="1" x14ac:dyDescent="0.35">
      <c r="A11" s="447">
        <v>3</v>
      </c>
      <c r="B11" s="454">
        <v>3</v>
      </c>
      <c r="C11" s="467" t="s">
        <v>13</v>
      </c>
      <c r="D11" s="570">
        <v>26</v>
      </c>
      <c r="E11" s="570" t="s">
        <v>265</v>
      </c>
      <c r="F11" s="455">
        <v>30000000</v>
      </c>
      <c r="G11" s="455">
        <f>Annexures!D22</f>
        <v>43467197.629999995</v>
      </c>
      <c r="H11" s="455">
        <f>Annexures!M22</f>
        <v>14748588</v>
      </c>
      <c r="I11" s="455">
        <f>Annexures!O22</f>
        <v>85159677</v>
      </c>
      <c r="J11" s="455">
        <f>Annexures!P22</f>
        <v>51418431.132499985</v>
      </c>
      <c r="K11" s="455">
        <f t="shared" si="2"/>
        <v>33741245.867500015</v>
      </c>
      <c r="L11" s="463">
        <v>58650</v>
      </c>
      <c r="M11" s="463">
        <f t="shared" si="0"/>
        <v>10557</v>
      </c>
      <c r="N11" s="463">
        <v>3000</v>
      </c>
      <c r="O11" s="463">
        <f t="shared" si="1"/>
        <v>72207</v>
      </c>
      <c r="P11" s="447" t="s">
        <v>10</v>
      </c>
      <c r="Q11" s="563" t="s">
        <v>14</v>
      </c>
      <c r="R11" s="461" t="s">
        <v>439</v>
      </c>
      <c r="S11" s="450" t="s">
        <v>419</v>
      </c>
    </row>
    <row r="12" spans="1:19" ht="28" x14ac:dyDescent="0.35">
      <c r="A12" s="447">
        <v>4</v>
      </c>
      <c r="B12" s="454">
        <v>4</v>
      </c>
      <c r="C12" s="467" t="s">
        <v>15</v>
      </c>
      <c r="D12" s="570">
        <v>1</v>
      </c>
      <c r="E12" s="570" t="s">
        <v>266</v>
      </c>
      <c r="F12" s="455">
        <v>1425000</v>
      </c>
      <c r="G12" s="455">
        <f>Annexures!D25</f>
        <v>2827981.4</v>
      </c>
      <c r="H12" s="455">
        <f>Annexures!M25</f>
        <v>1572048.4</v>
      </c>
      <c r="I12" s="455">
        <f>Annexures!O25</f>
        <v>5000000</v>
      </c>
      <c r="J12" s="455">
        <f>Annexures!P25</f>
        <v>4750000</v>
      </c>
      <c r="K12" s="455">
        <f t="shared" si="2"/>
        <v>250000</v>
      </c>
      <c r="L12" s="463">
        <v>6163</v>
      </c>
      <c r="M12" s="463">
        <f t="shared" si="0"/>
        <v>1109.3399999999999</v>
      </c>
      <c r="N12" s="463">
        <v>0</v>
      </c>
      <c r="O12" s="463">
        <f t="shared" si="1"/>
        <v>7272.34</v>
      </c>
      <c r="P12" s="447" t="s">
        <v>10</v>
      </c>
      <c r="Q12" s="563" t="s">
        <v>16</v>
      </c>
      <c r="R12" s="456" t="s">
        <v>420</v>
      </c>
      <c r="S12" s="450" t="s">
        <v>421</v>
      </c>
    </row>
    <row r="13" spans="1:19" ht="42" x14ac:dyDescent="0.35">
      <c r="A13" s="447">
        <v>5</v>
      </c>
      <c r="B13" s="454">
        <v>5</v>
      </c>
      <c r="C13" s="467" t="s">
        <v>505</v>
      </c>
      <c r="D13" s="570">
        <v>1</v>
      </c>
      <c r="E13" s="570"/>
      <c r="F13" s="455">
        <v>2375000</v>
      </c>
      <c r="G13" s="455"/>
      <c r="H13" s="455"/>
      <c r="I13" s="455">
        <v>2500000</v>
      </c>
      <c r="J13" s="455">
        <v>2375000</v>
      </c>
      <c r="K13" s="455">
        <f t="shared" si="2"/>
        <v>125000</v>
      </c>
      <c r="L13" s="463">
        <v>1098</v>
      </c>
      <c r="M13" s="463">
        <f t="shared" si="0"/>
        <v>197.64</v>
      </c>
      <c r="N13" s="463">
        <v>0</v>
      </c>
      <c r="O13" s="463">
        <f t="shared" si="1"/>
        <v>1295.6399999999999</v>
      </c>
      <c r="P13" s="447" t="s">
        <v>19</v>
      </c>
      <c r="Q13" s="563" t="s">
        <v>18</v>
      </c>
      <c r="R13" s="461"/>
      <c r="S13" s="450"/>
    </row>
    <row r="14" spans="1:19" ht="56" x14ac:dyDescent="0.35">
      <c r="A14" s="447">
        <v>6</v>
      </c>
      <c r="B14" s="454">
        <v>6</v>
      </c>
      <c r="C14" s="467" t="s">
        <v>22</v>
      </c>
      <c r="D14" s="570"/>
      <c r="E14" s="570" t="s">
        <v>267</v>
      </c>
      <c r="F14" s="455">
        <v>23750000</v>
      </c>
      <c r="G14" s="455">
        <f>Annexures!D31</f>
        <v>35340810.340000004</v>
      </c>
      <c r="H14" s="455">
        <f>Annexures!M31</f>
        <v>17629525.16</v>
      </c>
      <c r="I14" s="455">
        <f>Annexures!O31</f>
        <v>41231000</v>
      </c>
      <c r="J14" s="455">
        <f>Annexures!P31</f>
        <v>19584725</v>
      </c>
      <c r="K14" s="455">
        <f t="shared" si="2"/>
        <v>21646275</v>
      </c>
      <c r="L14" s="463">
        <v>118750</v>
      </c>
      <c r="M14" s="463">
        <f t="shared" si="0"/>
        <v>21375</v>
      </c>
      <c r="N14" s="463">
        <v>0</v>
      </c>
      <c r="O14" s="463">
        <f t="shared" si="1"/>
        <v>140125</v>
      </c>
      <c r="P14" s="447" t="s">
        <v>19</v>
      </c>
      <c r="Q14" s="563" t="s">
        <v>23</v>
      </c>
      <c r="R14" s="456" t="s">
        <v>425</v>
      </c>
      <c r="S14" s="450" t="s">
        <v>426</v>
      </c>
    </row>
    <row r="15" spans="1:19" ht="28" x14ac:dyDescent="0.35">
      <c r="A15" s="447">
        <v>7</v>
      </c>
      <c r="B15" s="454">
        <v>7</v>
      </c>
      <c r="C15" s="569" t="s">
        <v>24</v>
      </c>
      <c r="D15" s="454"/>
      <c r="E15" s="570" t="s">
        <v>268</v>
      </c>
      <c r="F15" s="457">
        <v>43400000</v>
      </c>
      <c r="G15" s="457">
        <f>Annexures!D34</f>
        <v>57945859.259999998</v>
      </c>
      <c r="H15" s="457">
        <f>Annexures!M34</f>
        <v>2362500</v>
      </c>
      <c r="I15" s="457">
        <f>Annexures!O36</f>
        <v>68000000</v>
      </c>
      <c r="J15" s="457">
        <f>Annexures!P36</f>
        <v>59945000</v>
      </c>
      <c r="K15" s="455">
        <f t="shared" si="2"/>
        <v>8055000</v>
      </c>
      <c r="L15" s="463">
        <v>20073</v>
      </c>
      <c r="M15" s="463">
        <f t="shared" si="0"/>
        <v>3613.14</v>
      </c>
      <c r="N15" s="463"/>
      <c r="O15" s="463">
        <f t="shared" si="1"/>
        <v>23686.14</v>
      </c>
      <c r="P15" s="447" t="s">
        <v>19</v>
      </c>
      <c r="Q15" s="563" t="s">
        <v>25</v>
      </c>
      <c r="R15" s="461" t="s">
        <v>427</v>
      </c>
      <c r="S15" s="450" t="s">
        <v>427</v>
      </c>
    </row>
    <row r="16" spans="1:19" x14ac:dyDescent="0.35">
      <c r="A16" s="447"/>
      <c r="B16" s="454"/>
      <c r="C16" s="567" t="s">
        <v>473</v>
      </c>
      <c r="D16" s="454"/>
      <c r="E16" s="454"/>
      <c r="F16" s="458">
        <f t="shared" ref="F16:I16" si="3">SUM(F9:F15)</f>
        <v>130950000</v>
      </c>
      <c r="G16" s="458">
        <f t="shared" si="3"/>
        <v>231421506.75</v>
      </c>
      <c r="H16" s="458">
        <f t="shared" si="3"/>
        <v>36312663.560000002</v>
      </c>
      <c r="I16" s="458">
        <f t="shared" si="3"/>
        <v>303609731</v>
      </c>
      <c r="J16" s="458">
        <f>SUM(J9:J15)</f>
        <v>206473156.13249999</v>
      </c>
      <c r="K16" s="458">
        <f>SUM(K9:K15)</f>
        <v>97136574.867500007</v>
      </c>
      <c r="L16" s="458">
        <f ca="1">SUM(L7:L101)</f>
        <v>1545128</v>
      </c>
      <c r="M16" s="458">
        <f ca="1">SUM(M7:M101)</f>
        <v>278123.04000000004</v>
      </c>
      <c r="N16" s="458">
        <f ca="1">SUM(N7:N101)</f>
        <v>56855</v>
      </c>
      <c r="O16" s="458">
        <f ca="1">SUM(O7:O101)</f>
        <v>1880106.04</v>
      </c>
      <c r="P16" s="458">
        <f ca="1">SUM(P7:P101)</f>
        <v>0</v>
      </c>
      <c r="Q16" s="458">
        <f ca="1">SUM(Q7:Q101)</f>
        <v>0</v>
      </c>
      <c r="R16" s="443"/>
    </row>
    <row r="17" spans="1:19" x14ac:dyDescent="0.35">
      <c r="A17" s="447"/>
      <c r="B17" s="447" t="s">
        <v>506</v>
      </c>
      <c r="C17" s="658" t="s">
        <v>34</v>
      </c>
      <c r="D17" s="658"/>
      <c r="E17" s="658"/>
      <c r="F17" s="658"/>
      <c r="G17" s="658"/>
      <c r="H17" s="658"/>
      <c r="I17" s="658"/>
      <c r="J17" s="658"/>
      <c r="K17" s="658"/>
      <c r="L17" s="658"/>
      <c r="M17" s="658"/>
      <c r="N17" s="658"/>
      <c r="O17" s="658"/>
      <c r="P17" s="658"/>
      <c r="Q17" s="658"/>
      <c r="R17" s="443"/>
    </row>
    <row r="18" spans="1:19" x14ac:dyDescent="0.35">
      <c r="A18" s="447"/>
      <c r="B18" s="566" t="s">
        <v>35</v>
      </c>
      <c r="C18" s="447"/>
      <c r="D18" s="570"/>
      <c r="E18" s="570"/>
      <c r="F18" s="455"/>
      <c r="G18" s="455"/>
      <c r="H18" s="455"/>
      <c r="I18" s="455"/>
      <c r="J18" s="455"/>
      <c r="K18" s="455"/>
      <c r="L18" s="449"/>
      <c r="M18" s="449"/>
      <c r="N18" s="449"/>
      <c r="O18" s="449"/>
      <c r="P18" s="447"/>
      <c r="Q18" s="568"/>
      <c r="R18" s="459"/>
      <c r="S18" s="460"/>
    </row>
    <row r="19" spans="1:19" ht="98" x14ac:dyDescent="0.35">
      <c r="A19" s="447">
        <v>8</v>
      </c>
      <c r="B19" s="454">
        <v>1</v>
      </c>
      <c r="C19" s="467" t="s">
        <v>36</v>
      </c>
      <c r="D19" s="570"/>
      <c r="E19" s="570" t="s">
        <v>270</v>
      </c>
      <c r="F19" s="455">
        <v>110000000</v>
      </c>
      <c r="G19" s="455">
        <f>Annexures!D63</f>
        <v>110109161.06999999</v>
      </c>
      <c r="H19" s="455">
        <f>Annexures!M63</f>
        <v>54045479.07</v>
      </c>
      <c r="I19" s="455">
        <f>Annexures!O59</f>
        <v>692238040</v>
      </c>
      <c r="J19" s="455">
        <f>Annexures!P59</f>
        <v>542541564</v>
      </c>
      <c r="K19" s="455">
        <f t="shared" ref="K19" si="4">I19-J19</f>
        <v>149696476</v>
      </c>
      <c r="L19" s="463">
        <v>22044</v>
      </c>
      <c r="M19" s="463">
        <f>L19*18%</f>
        <v>3967.92</v>
      </c>
      <c r="N19" s="463">
        <v>0</v>
      </c>
      <c r="O19" s="463">
        <f>L19+M19+N19</f>
        <v>26011.919999999998</v>
      </c>
      <c r="P19" s="447" t="s">
        <v>19</v>
      </c>
      <c r="Q19" s="563" t="s">
        <v>37</v>
      </c>
      <c r="R19" s="461" t="s">
        <v>441</v>
      </c>
      <c r="S19" s="563" t="s">
        <v>468</v>
      </c>
    </row>
    <row r="20" spans="1:19" x14ac:dyDescent="0.35">
      <c r="A20" s="447"/>
      <c r="B20" s="566" t="s">
        <v>39</v>
      </c>
      <c r="C20" s="447"/>
      <c r="D20" s="570"/>
      <c r="E20" s="570"/>
      <c r="F20" s="455"/>
      <c r="G20" s="455"/>
      <c r="H20" s="455"/>
      <c r="I20" s="455"/>
      <c r="J20" s="455"/>
      <c r="K20" s="455"/>
      <c r="L20" s="449"/>
      <c r="M20" s="449"/>
      <c r="N20" s="449"/>
      <c r="O20" s="449"/>
      <c r="P20" s="447"/>
      <c r="Q20" s="568"/>
      <c r="R20" s="459"/>
      <c r="S20" s="460"/>
    </row>
    <row r="21" spans="1:19" x14ac:dyDescent="0.35">
      <c r="A21" s="447"/>
      <c r="B21" s="566" t="s">
        <v>40</v>
      </c>
      <c r="C21" s="566"/>
      <c r="D21" s="570"/>
      <c r="E21" s="570"/>
      <c r="F21" s="455"/>
      <c r="G21" s="455"/>
      <c r="H21" s="455"/>
      <c r="I21" s="455"/>
      <c r="J21" s="455"/>
      <c r="K21" s="455"/>
      <c r="L21" s="449"/>
      <c r="M21" s="449"/>
      <c r="N21" s="449"/>
      <c r="O21" s="449"/>
      <c r="P21" s="447"/>
      <c r="Q21" s="568"/>
      <c r="R21" s="459"/>
      <c r="S21" s="460"/>
    </row>
    <row r="22" spans="1:19" ht="56" x14ac:dyDescent="0.35">
      <c r="A22" s="447">
        <v>9</v>
      </c>
      <c r="B22" s="454">
        <v>2</v>
      </c>
      <c r="C22" s="467" t="s">
        <v>282</v>
      </c>
      <c r="D22" s="570" t="s">
        <v>43</v>
      </c>
      <c r="E22" s="570" t="s">
        <v>267</v>
      </c>
      <c r="F22" s="455">
        <v>6032000</v>
      </c>
      <c r="G22" s="564">
        <f>Buildings!F9</f>
        <v>738266</v>
      </c>
      <c r="H22" s="564">
        <f>Buildings!H9</f>
        <v>1</v>
      </c>
      <c r="I22" s="564">
        <f>Buildings!L9</f>
        <v>26390000</v>
      </c>
      <c r="J22" s="564">
        <f>Buildings!M9</f>
        <v>20056400</v>
      </c>
      <c r="K22" s="455">
        <f t="shared" ref="K22:K27" si="5">I22-J22</f>
        <v>6333600</v>
      </c>
      <c r="L22" s="449">
        <v>3921</v>
      </c>
      <c r="M22" s="449">
        <v>706</v>
      </c>
      <c r="N22" s="449"/>
      <c r="O22" s="463">
        <f t="shared" ref="O22:O28" si="6">L22+M22+N22</f>
        <v>4627</v>
      </c>
      <c r="P22" s="447" t="s">
        <v>44</v>
      </c>
      <c r="Q22" s="563" t="s">
        <v>42</v>
      </c>
      <c r="R22" s="462"/>
      <c r="S22" s="450" t="s">
        <v>442</v>
      </c>
    </row>
    <row r="23" spans="1:19" ht="56" x14ac:dyDescent="0.35">
      <c r="A23" s="447">
        <v>10</v>
      </c>
      <c r="B23" s="454">
        <v>3</v>
      </c>
      <c r="C23" s="467" t="s">
        <v>283</v>
      </c>
      <c r="D23" s="570" t="s">
        <v>46</v>
      </c>
      <c r="E23" s="570" t="s">
        <v>267</v>
      </c>
      <c r="F23" s="455">
        <v>2720000</v>
      </c>
      <c r="G23" s="564">
        <f>Buildings!F10</f>
        <v>2423675</v>
      </c>
      <c r="H23" s="564">
        <f>Buildings!H10</f>
        <v>824047</v>
      </c>
      <c r="I23" s="564">
        <f>Buildings!L10</f>
        <v>11900000</v>
      </c>
      <c r="J23" s="564">
        <f>Buildings!M10</f>
        <v>9044000</v>
      </c>
      <c r="K23" s="455">
        <f t="shared" si="5"/>
        <v>2856000</v>
      </c>
      <c r="L23" s="463">
        <v>1768</v>
      </c>
      <c r="M23" s="463">
        <f>L23*18%</f>
        <v>318.24</v>
      </c>
      <c r="N23" s="463">
        <v>0</v>
      </c>
      <c r="O23" s="463">
        <f t="shared" si="6"/>
        <v>2086.2399999999998</v>
      </c>
      <c r="P23" s="447" t="s">
        <v>44</v>
      </c>
      <c r="Q23" s="563" t="s">
        <v>42</v>
      </c>
      <c r="R23" s="462"/>
      <c r="S23" s="450" t="s">
        <v>442</v>
      </c>
    </row>
    <row r="24" spans="1:19" ht="56" x14ac:dyDescent="0.35">
      <c r="A24" s="447">
        <v>11</v>
      </c>
      <c r="B24" s="454">
        <v>4</v>
      </c>
      <c r="C24" s="447" t="s">
        <v>47</v>
      </c>
      <c r="D24" s="570" t="s">
        <v>307</v>
      </c>
      <c r="E24" s="454" t="s">
        <v>267</v>
      </c>
      <c r="F24" s="455">
        <v>3248000</v>
      </c>
      <c r="G24" s="564">
        <f>Buildings!F11</f>
        <v>3090011</v>
      </c>
      <c r="H24" s="564">
        <f>Buildings!H11</f>
        <v>1485816</v>
      </c>
      <c r="I24" s="564">
        <f>Buildings!L11</f>
        <v>24360000</v>
      </c>
      <c r="J24" s="564">
        <f>Buildings!M11</f>
        <v>3239880</v>
      </c>
      <c r="K24" s="455">
        <f t="shared" si="5"/>
        <v>21120120</v>
      </c>
      <c r="L24" s="463">
        <v>2111</v>
      </c>
      <c r="M24" s="463">
        <f>L24*18%</f>
        <v>379.97999999999996</v>
      </c>
      <c r="N24" s="463">
        <v>0</v>
      </c>
      <c r="O24" s="463">
        <f t="shared" si="6"/>
        <v>2490.98</v>
      </c>
      <c r="P24" s="447" t="s">
        <v>44</v>
      </c>
      <c r="Q24" s="563" t="s">
        <v>42</v>
      </c>
      <c r="R24" s="462"/>
      <c r="S24" s="450" t="s">
        <v>442</v>
      </c>
    </row>
    <row r="25" spans="1:19" x14ac:dyDescent="0.35">
      <c r="A25" s="447"/>
      <c r="B25" s="566" t="s">
        <v>49</v>
      </c>
      <c r="C25" s="447"/>
      <c r="D25" s="454"/>
      <c r="E25" s="454"/>
      <c r="F25" s="455"/>
      <c r="G25" s="455"/>
      <c r="H25" s="455"/>
      <c r="I25" s="455"/>
      <c r="J25" s="455"/>
      <c r="K25" s="455"/>
      <c r="L25" s="449"/>
      <c r="M25" s="449"/>
      <c r="N25" s="449"/>
      <c r="O25" s="463"/>
      <c r="P25" s="447"/>
      <c r="Q25" s="568"/>
      <c r="R25" s="462"/>
      <c r="S25" s="447"/>
    </row>
    <row r="26" spans="1:19" ht="28" x14ac:dyDescent="0.35">
      <c r="A26" s="447">
        <v>12</v>
      </c>
      <c r="B26" s="454">
        <v>5</v>
      </c>
      <c r="C26" s="467" t="s">
        <v>277</v>
      </c>
      <c r="D26" s="570" t="s">
        <v>51</v>
      </c>
      <c r="E26" s="454"/>
      <c r="F26" s="455">
        <v>22560000</v>
      </c>
      <c r="G26" s="564">
        <f>Buildings!F13</f>
        <v>460340</v>
      </c>
      <c r="H26" s="564">
        <f>Buildings!H13</f>
        <v>2</v>
      </c>
      <c r="I26" s="564">
        <f>Buildings!L13</f>
        <v>98700000</v>
      </c>
      <c r="J26" s="564">
        <f>Buildings!M13</f>
        <v>75012000</v>
      </c>
      <c r="K26" s="455">
        <f t="shared" si="5"/>
        <v>23688000</v>
      </c>
      <c r="L26" s="449"/>
      <c r="M26" s="449"/>
      <c r="N26" s="449"/>
      <c r="O26" s="463"/>
      <c r="P26" s="447"/>
      <c r="Q26" s="568"/>
      <c r="R26" s="462"/>
      <c r="S26" s="450" t="s">
        <v>442</v>
      </c>
    </row>
    <row r="27" spans="1:19" ht="28" x14ac:dyDescent="0.35">
      <c r="A27" s="447">
        <v>13</v>
      </c>
      <c r="B27" s="454">
        <v>6</v>
      </c>
      <c r="C27" s="467" t="s">
        <v>400</v>
      </c>
      <c r="D27" s="570" t="s">
        <v>53</v>
      </c>
      <c r="E27" s="454"/>
      <c r="F27" s="455">
        <v>10320000</v>
      </c>
      <c r="G27" s="564">
        <f>Buildings!F14</f>
        <v>6551510.1099999994</v>
      </c>
      <c r="H27" s="564">
        <f>Buildings!H14</f>
        <v>1166709.1099999999</v>
      </c>
      <c r="I27" s="564">
        <f>Buildings!L14</f>
        <v>30100000</v>
      </c>
      <c r="J27" s="564">
        <f>Buildings!M14</f>
        <v>22876000</v>
      </c>
      <c r="K27" s="455">
        <f t="shared" si="5"/>
        <v>7224000</v>
      </c>
      <c r="L27" s="449"/>
      <c r="M27" s="449"/>
      <c r="N27" s="449"/>
      <c r="O27" s="463"/>
      <c r="P27" s="447"/>
      <c r="Q27" s="568"/>
      <c r="R27" s="462"/>
      <c r="S27" s="450" t="s">
        <v>442</v>
      </c>
    </row>
    <row r="28" spans="1:19" ht="28" x14ac:dyDescent="0.35">
      <c r="A28" s="447">
        <v>14</v>
      </c>
      <c r="B28" s="454">
        <v>7</v>
      </c>
      <c r="C28" s="467" t="s">
        <v>54</v>
      </c>
      <c r="D28" s="570" t="s">
        <v>55</v>
      </c>
      <c r="E28" s="570"/>
      <c r="F28" s="650">
        <v>18624000</v>
      </c>
      <c r="G28" s="650">
        <f>SUM(Buildings!F15:F18)</f>
        <v>1948190</v>
      </c>
      <c r="H28" s="650">
        <f>SUM(Buildings!H15:H18)</f>
        <v>4</v>
      </c>
      <c r="I28" s="650">
        <f>SUM(Buildings!L15:L18)</f>
        <v>139680000</v>
      </c>
      <c r="J28" s="650">
        <f>SUM(Buildings!M15:M18)</f>
        <v>106156800</v>
      </c>
      <c r="K28" s="650">
        <f>I28-J28</f>
        <v>33523200</v>
      </c>
      <c r="L28" s="651">
        <v>12106</v>
      </c>
      <c r="M28" s="651">
        <f>L28*18%</f>
        <v>2179.08</v>
      </c>
      <c r="N28" s="661">
        <v>0</v>
      </c>
      <c r="O28" s="656">
        <f t="shared" si="6"/>
        <v>14285.08</v>
      </c>
      <c r="P28" s="657" t="s">
        <v>44</v>
      </c>
      <c r="Q28" s="649" t="s">
        <v>42</v>
      </c>
      <c r="R28" s="464"/>
      <c r="S28" s="660" t="s">
        <v>442</v>
      </c>
    </row>
    <row r="29" spans="1:19" ht="28" x14ac:dyDescent="0.35">
      <c r="A29" s="447">
        <v>15</v>
      </c>
      <c r="B29" s="454">
        <v>8</v>
      </c>
      <c r="C29" s="467" t="s">
        <v>56</v>
      </c>
      <c r="D29" s="570" t="s">
        <v>57</v>
      </c>
      <c r="E29" s="570"/>
      <c r="F29" s="650"/>
      <c r="G29" s="650"/>
      <c r="H29" s="650"/>
      <c r="I29" s="650"/>
      <c r="J29" s="650"/>
      <c r="K29" s="650"/>
      <c r="L29" s="651"/>
      <c r="M29" s="651"/>
      <c r="N29" s="661"/>
      <c r="O29" s="656"/>
      <c r="P29" s="657"/>
      <c r="Q29" s="649"/>
      <c r="R29" s="464"/>
      <c r="S29" s="660"/>
    </row>
    <row r="30" spans="1:19" ht="28" x14ac:dyDescent="0.35">
      <c r="A30" s="447">
        <v>16</v>
      </c>
      <c r="B30" s="454">
        <v>9</v>
      </c>
      <c r="C30" s="467" t="s">
        <v>58</v>
      </c>
      <c r="D30" s="570" t="s">
        <v>59</v>
      </c>
      <c r="E30" s="570"/>
      <c r="F30" s="650"/>
      <c r="G30" s="650"/>
      <c r="H30" s="650"/>
      <c r="I30" s="650"/>
      <c r="J30" s="650"/>
      <c r="K30" s="650"/>
      <c r="L30" s="651"/>
      <c r="M30" s="651"/>
      <c r="N30" s="661"/>
      <c r="O30" s="656"/>
      <c r="P30" s="657"/>
      <c r="Q30" s="649"/>
      <c r="R30" s="464"/>
      <c r="S30" s="660"/>
    </row>
    <row r="31" spans="1:19" ht="28" x14ac:dyDescent="0.35">
      <c r="A31" s="447">
        <v>17</v>
      </c>
      <c r="B31" s="454">
        <v>10</v>
      </c>
      <c r="C31" s="467" t="s">
        <v>60</v>
      </c>
      <c r="D31" s="570" t="s">
        <v>61</v>
      </c>
      <c r="E31" s="570"/>
      <c r="F31" s="650"/>
      <c r="G31" s="650"/>
      <c r="H31" s="650"/>
      <c r="I31" s="650"/>
      <c r="J31" s="650"/>
      <c r="K31" s="650"/>
      <c r="L31" s="651"/>
      <c r="M31" s="651"/>
      <c r="N31" s="661"/>
      <c r="O31" s="656"/>
      <c r="P31" s="657"/>
      <c r="Q31" s="649"/>
      <c r="R31" s="464"/>
      <c r="S31" s="660"/>
    </row>
    <row r="32" spans="1:19" ht="70" x14ac:dyDescent="0.35">
      <c r="A32" s="447">
        <v>18</v>
      </c>
      <c r="B32" s="454">
        <v>11</v>
      </c>
      <c r="C32" s="450" t="s">
        <v>62</v>
      </c>
      <c r="D32" s="570"/>
      <c r="E32" s="570" t="s">
        <v>270</v>
      </c>
      <c r="F32" s="455">
        <v>50000000</v>
      </c>
      <c r="G32" s="455">
        <f>Annexures!D101</f>
        <v>49144714.359999999</v>
      </c>
      <c r="H32" s="455">
        <f>Annexures!M101</f>
        <v>47144906.359999999</v>
      </c>
      <c r="I32" s="455">
        <f>Annexures!O101</f>
        <v>54175276</v>
      </c>
      <c r="J32" s="455">
        <f>Annexures!P101</f>
        <v>3859988</v>
      </c>
      <c r="K32" s="455">
        <f t="shared" ref="K32:K48" si="7">I32-J32</f>
        <v>50315288</v>
      </c>
      <c r="L32" s="463">
        <v>10020</v>
      </c>
      <c r="M32" s="463">
        <f>L32*18%</f>
        <v>1803.6</v>
      </c>
      <c r="N32" s="463">
        <v>0</v>
      </c>
      <c r="O32" s="463">
        <f t="shared" ref="O32:O73" si="8">L32+M32+N32</f>
        <v>11823.6</v>
      </c>
      <c r="P32" s="447" t="s">
        <v>19</v>
      </c>
      <c r="Q32" s="563" t="s">
        <v>37</v>
      </c>
      <c r="R32" s="464"/>
      <c r="S32" s="576" t="s">
        <v>442</v>
      </c>
    </row>
    <row r="33" spans="1:19" ht="70" x14ac:dyDescent="0.35">
      <c r="A33" s="447">
        <v>19</v>
      </c>
      <c r="B33" s="454">
        <v>12</v>
      </c>
      <c r="C33" s="450" t="s">
        <v>63</v>
      </c>
      <c r="D33" s="570"/>
      <c r="E33" s="570" t="s">
        <v>270</v>
      </c>
      <c r="F33" s="455">
        <v>420000000</v>
      </c>
      <c r="G33" s="455">
        <f>Annexures!D105</f>
        <v>552251382.20000005</v>
      </c>
      <c r="H33" s="455">
        <f>Annexures!M105</f>
        <v>490580755.19999999</v>
      </c>
      <c r="I33" s="455">
        <f>Annexures!O105</f>
        <v>925930461</v>
      </c>
      <c r="J33" s="465">
        <f>Annexures!P105</f>
        <v>197917636</v>
      </c>
      <c r="K33" s="455">
        <f t="shared" si="7"/>
        <v>728012825</v>
      </c>
      <c r="L33" s="463">
        <v>84168</v>
      </c>
      <c r="M33" s="463">
        <f>L33*18%</f>
        <v>15150.24</v>
      </c>
      <c r="N33" s="463">
        <v>0</v>
      </c>
      <c r="O33" s="463">
        <f t="shared" si="8"/>
        <v>99318.24</v>
      </c>
      <c r="P33" s="447" t="s">
        <v>19</v>
      </c>
      <c r="Q33" s="563" t="s">
        <v>37</v>
      </c>
      <c r="R33" s="464"/>
      <c r="S33" s="577" t="s">
        <v>443</v>
      </c>
    </row>
    <row r="34" spans="1:19" ht="70" x14ac:dyDescent="0.35">
      <c r="A34" s="447">
        <v>20</v>
      </c>
      <c r="B34" s="454">
        <v>13</v>
      </c>
      <c r="C34" s="450" t="s">
        <v>64</v>
      </c>
      <c r="D34" s="570"/>
      <c r="E34" s="570"/>
      <c r="F34" s="455">
        <v>150000000</v>
      </c>
      <c r="G34" s="455">
        <f>Annexures!D113</f>
        <v>32363534.640000001</v>
      </c>
      <c r="H34" s="455">
        <f>Annexures!M113</f>
        <v>1675178</v>
      </c>
      <c r="I34" s="455">
        <f>Annexures!O113</f>
        <v>286999498</v>
      </c>
      <c r="J34" s="455">
        <v>260476953</v>
      </c>
      <c r="K34" s="455">
        <f t="shared" si="7"/>
        <v>26522545</v>
      </c>
      <c r="L34" s="463">
        <v>30060</v>
      </c>
      <c r="M34" s="463">
        <f>L34*18%</f>
        <v>5410.8</v>
      </c>
      <c r="N34" s="463">
        <v>0</v>
      </c>
      <c r="O34" s="463">
        <f t="shared" si="8"/>
        <v>35470.800000000003</v>
      </c>
      <c r="P34" s="447" t="s">
        <v>19</v>
      </c>
      <c r="Q34" s="563" t="s">
        <v>37</v>
      </c>
      <c r="R34" s="464"/>
      <c r="S34" s="576" t="s">
        <v>442</v>
      </c>
    </row>
    <row r="35" spans="1:19" x14ac:dyDescent="0.35">
      <c r="A35" s="447"/>
      <c r="B35" s="566" t="s">
        <v>65</v>
      </c>
      <c r="C35" s="447"/>
      <c r="D35" s="570"/>
      <c r="E35" s="570"/>
      <c r="F35" s="455"/>
      <c r="G35" s="455"/>
      <c r="H35" s="455"/>
      <c r="I35" s="455"/>
      <c r="J35" s="455"/>
      <c r="K35" s="455"/>
      <c r="L35" s="463"/>
      <c r="M35" s="463"/>
      <c r="N35" s="463"/>
      <c r="O35" s="463"/>
      <c r="P35" s="447"/>
      <c r="Q35" s="568"/>
      <c r="R35" s="459"/>
      <c r="S35" s="577"/>
    </row>
    <row r="36" spans="1:19" ht="56" x14ac:dyDescent="0.35">
      <c r="A36" s="447">
        <v>21</v>
      </c>
      <c r="B36" s="454">
        <v>14</v>
      </c>
      <c r="C36" s="467" t="s">
        <v>66</v>
      </c>
      <c r="D36" s="570" t="s">
        <v>67</v>
      </c>
      <c r="E36" s="570"/>
      <c r="F36" s="455">
        <v>54230000</v>
      </c>
      <c r="G36" s="455"/>
      <c r="H36" s="455"/>
      <c r="I36" s="564">
        <f>Buildings!L23</f>
        <v>72630000</v>
      </c>
      <c r="J36" s="564">
        <f>Buildings!M23</f>
        <v>6899850</v>
      </c>
      <c r="K36" s="455">
        <f t="shared" si="7"/>
        <v>65730150</v>
      </c>
      <c r="L36" s="449">
        <v>25081</v>
      </c>
      <c r="M36" s="495">
        <f>L36*18%</f>
        <v>4514.58</v>
      </c>
      <c r="N36" s="449">
        <v>0</v>
      </c>
      <c r="O36" s="463">
        <f t="shared" si="8"/>
        <v>29595.58</v>
      </c>
      <c r="P36" s="447" t="s">
        <v>19</v>
      </c>
      <c r="Q36" s="563" t="s">
        <v>42</v>
      </c>
      <c r="R36" s="464"/>
      <c r="S36" s="577" t="s">
        <v>443</v>
      </c>
    </row>
    <row r="37" spans="1:19" ht="56" x14ac:dyDescent="0.35">
      <c r="A37" s="447">
        <v>22</v>
      </c>
      <c r="B37" s="454">
        <v>15</v>
      </c>
      <c r="C37" s="467" t="s">
        <v>478</v>
      </c>
      <c r="D37" s="570" t="s">
        <v>69</v>
      </c>
      <c r="E37" s="570"/>
      <c r="F37" s="455">
        <v>28245000</v>
      </c>
      <c r="G37" s="455"/>
      <c r="H37" s="455"/>
      <c r="I37" s="564">
        <f>Buildings!L24</f>
        <v>24210000</v>
      </c>
      <c r="J37" s="564">
        <f>Buildings!M24</f>
        <v>2299950</v>
      </c>
      <c r="K37" s="455">
        <f t="shared" si="7"/>
        <v>21910050</v>
      </c>
      <c r="L37" s="449">
        <v>13063</v>
      </c>
      <c r="M37" s="495">
        <f>L37*18%</f>
        <v>2351.3399999999997</v>
      </c>
      <c r="N37" s="449">
        <v>0</v>
      </c>
      <c r="O37" s="463">
        <f t="shared" si="8"/>
        <v>15414.34</v>
      </c>
      <c r="P37" s="447" t="s">
        <v>19</v>
      </c>
      <c r="Q37" s="563" t="s">
        <v>42</v>
      </c>
      <c r="R37" s="464"/>
      <c r="S37" s="577" t="s">
        <v>443</v>
      </c>
    </row>
    <row r="38" spans="1:19" ht="70" x14ac:dyDescent="0.35">
      <c r="A38" s="447">
        <v>23</v>
      </c>
      <c r="B38" s="454">
        <v>16</v>
      </c>
      <c r="C38" s="450" t="s">
        <v>70</v>
      </c>
      <c r="D38" s="570"/>
      <c r="E38" s="570"/>
      <c r="F38" s="455">
        <v>395000000</v>
      </c>
      <c r="G38" s="455">
        <f>Annexures!D119</f>
        <v>436728707.77999997</v>
      </c>
      <c r="H38" s="455">
        <f>Annexures!M119</f>
        <v>288037985.77999997</v>
      </c>
      <c r="I38" s="455">
        <f>Annexures!O119</f>
        <v>1025873622</v>
      </c>
      <c r="J38" s="455">
        <f>Annexures!P119</f>
        <v>360594964</v>
      </c>
      <c r="K38" s="455">
        <f t="shared" si="7"/>
        <v>665278658</v>
      </c>
      <c r="L38" s="463">
        <v>79158</v>
      </c>
      <c r="M38" s="463">
        <f>L38*18%</f>
        <v>14248.439999999999</v>
      </c>
      <c r="N38" s="463">
        <v>0</v>
      </c>
      <c r="O38" s="463">
        <f t="shared" si="8"/>
        <v>93406.44</v>
      </c>
      <c r="P38" s="447" t="s">
        <v>19</v>
      </c>
      <c r="Q38" s="563" t="s">
        <v>37</v>
      </c>
      <c r="R38" s="464"/>
      <c r="S38" s="577" t="s">
        <v>443</v>
      </c>
    </row>
    <row r="39" spans="1:19" ht="70" x14ac:dyDescent="0.35">
      <c r="A39" s="447">
        <v>24</v>
      </c>
      <c r="B39" s="454">
        <v>17</v>
      </c>
      <c r="C39" s="450" t="s">
        <v>511</v>
      </c>
      <c r="D39" s="570" t="s">
        <v>406</v>
      </c>
      <c r="E39" s="570"/>
      <c r="F39" s="455">
        <v>6325113</v>
      </c>
      <c r="G39" s="455"/>
      <c r="H39" s="455"/>
      <c r="I39" s="455">
        <f>Buildings!L36</f>
        <v>7366834.2000000002</v>
      </c>
      <c r="J39" s="455">
        <f>Buildings!M36</f>
        <v>419909.54939999996</v>
      </c>
      <c r="K39" s="455">
        <f t="shared" si="7"/>
        <v>6946924.6506000003</v>
      </c>
      <c r="L39" s="463">
        <v>1268</v>
      </c>
      <c r="M39" s="463">
        <f>L39*18%</f>
        <v>228.23999999999998</v>
      </c>
      <c r="N39" s="463">
        <v>0</v>
      </c>
      <c r="O39" s="463">
        <f t="shared" si="8"/>
        <v>1496.24</v>
      </c>
      <c r="P39" s="447" t="s">
        <v>19</v>
      </c>
      <c r="Q39" s="563" t="s">
        <v>37</v>
      </c>
      <c r="R39" s="464"/>
      <c r="S39" s="577" t="s">
        <v>443</v>
      </c>
    </row>
    <row r="40" spans="1:19" x14ac:dyDescent="0.35">
      <c r="A40" s="447"/>
      <c r="B40" s="566" t="s">
        <v>579</v>
      </c>
      <c r="C40" s="450"/>
      <c r="D40" s="570"/>
      <c r="E40" s="570"/>
      <c r="F40" s="455"/>
      <c r="G40" s="455"/>
      <c r="H40" s="455"/>
      <c r="I40" s="455"/>
      <c r="J40" s="455"/>
      <c r="K40" s="455"/>
      <c r="L40" s="449"/>
      <c r="M40" s="449"/>
      <c r="N40" s="449"/>
      <c r="O40" s="449"/>
      <c r="P40" s="447"/>
      <c r="Q40" s="568"/>
      <c r="R40" s="459"/>
      <c r="S40" s="460"/>
    </row>
    <row r="41" spans="1:19" ht="42" x14ac:dyDescent="0.35">
      <c r="A41" s="447">
        <v>25</v>
      </c>
      <c r="B41" s="454">
        <v>18</v>
      </c>
      <c r="C41" s="450" t="s">
        <v>72</v>
      </c>
      <c r="D41" s="570" t="s">
        <v>74</v>
      </c>
      <c r="E41" s="570"/>
      <c r="F41" s="466">
        <v>9600000</v>
      </c>
      <c r="G41" s="466">
        <f>Annexures!D130</f>
        <v>3514332.45</v>
      </c>
      <c r="H41" s="466">
        <f>Annexures!M130</f>
        <v>13315</v>
      </c>
      <c r="I41" s="466">
        <f>Buildings!L28</f>
        <v>45936000</v>
      </c>
      <c r="J41" s="466">
        <v>43639200</v>
      </c>
      <c r="K41" s="455">
        <f t="shared" si="7"/>
        <v>2296800</v>
      </c>
      <c r="L41" s="463">
        <v>2856</v>
      </c>
      <c r="M41" s="463">
        <f>L41*18/100</f>
        <v>514.08000000000004</v>
      </c>
      <c r="N41" s="496">
        <v>0</v>
      </c>
      <c r="O41" s="463">
        <f t="shared" si="8"/>
        <v>3370.08</v>
      </c>
      <c r="P41" s="447" t="s">
        <v>10</v>
      </c>
      <c r="Q41" s="467" t="s">
        <v>73</v>
      </c>
      <c r="R41" s="468"/>
      <c r="S41" s="576" t="s">
        <v>442</v>
      </c>
    </row>
    <row r="42" spans="1:19" ht="42" x14ac:dyDescent="0.35">
      <c r="A42" s="447">
        <v>26</v>
      </c>
      <c r="B42" s="454">
        <v>19</v>
      </c>
      <c r="C42" s="467" t="s">
        <v>75</v>
      </c>
      <c r="D42" s="570" t="s">
        <v>76</v>
      </c>
      <c r="E42" s="570"/>
      <c r="F42" s="466">
        <v>71700000</v>
      </c>
      <c r="G42" s="466">
        <f>Annexures!D139</f>
        <v>61298199.149999999</v>
      </c>
      <c r="H42" s="466">
        <f>Annexures!M139</f>
        <v>29744848.150000002</v>
      </c>
      <c r="I42" s="466">
        <f>Buildings!L29</f>
        <v>126104000</v>
      </c>
      <c r="J42" s="466">
        <f>Buildings!M29</f>
        <v>47919520</v>
      </c>
      <c r="K42" s="455">
        <f t="shared" si="7"/>
        <v>78184480</v>
      </c>
      <c r="L42" s="463">
        <v>15121</v>
      </c>
      <c r="M42" s="463">
        <f>L42*18/100</f>
        <v>2721.78</v>
      </c>
      <c r="N42" s="496">
        <v>0</v>
      </c>
      <c r="O42" s="463">
        <f t="shared" si="8"/>
        <v>17842.78</v>
      </c>
      <c r="P42" s="447" t="s">
        <v>10</v>
      </c>
      <c r="Q42" s="467" t="s">
        <v>73</v>
      </c>
      <c r="R42" s="468"/>
      <c r="S42" s="577" t="s">
        <v>443</v>
      </c>
    </row>
    <row r="43" spans="1:19" ht="42" x14ac:dyDescent="0.35">
      <c r="A43" s="447">
        <v>29</v>
      </c>
      <c r="B43" s="454">
        <v>22</v>
      </c>
      <c r="C43" s="450" t="s">
        <v>82</v>
      </c>
      <c r="D43" s="570" t="s">
        <v>83</v>
      </c>
      <c r="E43" s="570"/>
      <c r="F43" s="466">
        <v>5200000</v>
      </c>
      <c r="G43" s="466">
        <f>Annexures!D155</f>
        <v>447061</v>
      </c>
      <c r="H43" s="466">
        <f>Annexures!M155</f>
        <v>212384</v>
      </c>
      <c r="I43" s="466">
        <f>Buildings!L32</f>
        <v>24930000</v>
      </c>
      <c r="J43" s="466">
        <f>Buildings!M32</f>
        <v>16578450</v>
      </c>
      <c r="K43" s="455">
        <f t="shared" si="7"/>
        <v>8351550</v>
      </c>
      <c r="L43" s="463">
        <v>1560</v>
      </c>
      <c r="M43" s="463">
        <f>L43*18%</f>
        <v>280.8</v>
      </c>
      <c r="N43" s="463">
        <v>0</v>
      </c>
      <c r="O43" s="463">
        <f t="shared" si="8"/>
        <v>1840.8</v>
      </c>
      <c r="P43" s="447" t="s">
        <v>79</v>
      </c>
      <c r="Q43" s="467" t="s">
        <v>73</v>
      </c>
      <c r="R43" s="468"/>
      <c r="S43" s="576" t="s">
        <v>442</v>
      </c>
    </row>
    <row r="44" spans="1:19" ht="42" x14ac:dyDescent="0.35">
      <c r="A44" s="447">
        <v>30</v>
      </c>
      <c r="B44" s="454">
        <v>23</v>
      </c>
      <c r="C44" s="450" t="s">
        <v>84</v>
      </c>
      <c r="D44" s="570" t="s">
        <v>85</v>
      </c>
      <c r="E44" s="570"/>
      <c r="F44" s="466">
        <v>54900000</v>
      </c>
      <c r="G44" s="466">
        <f>Annexures!D158</f>
        <v>16031067.51</v>
      </c>
      <c r="H44" s="466">
        <f>Annexures!M158</f>
        <v>13356784.51</v>
      </c>
      <c r="I44" s="466">
        <f>Buildings!L33</f>
        <v>65934000</v>
      </c>
      <c r="J44" s="466">
        <f>Buildings!M33</f>
        <v>12527460</v>
      </c>
      <c r="K44" s="455">
        <f t="shared" si="7"/>
        <v>53406540</v>
      </c>
      <c r="L44" s="463">
        <v>11803</v>
      </c>
      <c r="M44" s="463">
        <f>L44*18/100</f>
        <v>2124.54</v>
      </c>
      <c r="N44" s="496">
        <v>0</v>
      </c>
      <c r="O44" s="463">
        <f>L44+M44+N44</f>
        <v>13927.54</v>
      </c>
      <c r="P44" s="447" t="s">
        <v>10</v>
      </c>
      <c r="Q44" s="467" t="s">
        <v>73</v>
      </c>
      <c r="R44" s="468"/>
      <c r="S44" s="577" t="s">
        <v>443</v>
      </c>
    </row>
    <row r="45" spans="1:19" ht="42" x14ac:dyDescent="0.35">
      <c r="A45" s="447">
        <v>31</v>
      </c>
      <c r="B45" s="454">
        <v>24</v>
      </c>
      <c r="C45" s="447" t="s">
        <v>401</v>
      </c>
      <c r="D45" s="450" t="s">
        <v>402</v>
      </c>
      <c r="E45" s="447"/>
      <c r="F45" s="447"/>
      <c r="G45" s="447"/>
      <c r="H45" s="447"/>
      <c r="I45" s="466">
        <f>Buildings!L34</f>
        <v>74900000</v>
      </c>
      <c r="J45" s="466">
        <f>Buildings!M34</f>
        <v>35577500</v>
      </c>
      <c r="K45" s="455">
        <f t="shared" si="7"/>
        <v>39322500</v>
      </c>
      <c r="L45" s="447"/>
      <c r="M45" s="447"/>
      <c r="N45" s="447"/>
      <c r="O45" s="447"/>
      <c r="P45" s="447"/>
      <c r="Q45" s="467" t="s">
        <v>73</v>
      </c>
      <c r="R45" s="456"/>
      <c r="S45" s="576" t="s">
        <v>442</v>
      </c>
    </row>
    <row r="46" spans="1:19" ht="42" x14ac:dyDescent="0.35">
      <c r="A46" s="447"/>
      <c r="B46" s="589" t="s">
        <v>596</v>
      </c>
      <c r="C46" s="450"/>
      <c r="D46" s="570" t="s">
        <v>409</v>
      </c>
      <c r="E46" s="578"/>
      <c r="F46" s="578"/>
      <c r="G46" s="579" t="e">
        <f>G18+G21+G22+G23+G25+G26+G27+G31+G32+G33+G35+G36+G37+G38+G40+G41+G42+#REF!+#REF!+G43+G44+G45</f>
        <v>#REF!</v>
      </c>
      <c r="H46" s="579" t="e">
        <f>H18+H21+H22+H23+H25+H26+H27+H31+H32+H33+H35+H36+H37+H38+H40+H41+H42+#REF!+#REF!+H43+H44+H45</f>
        <v>#REF!</v>
      </c>
      <c r="I46" s="469">
        <v>396221025.19999999</v>
      </c>
      <c r="J46" s="469">
        <v>7528199</v>
      </c>
      <c r="K46" s="455">
        <f t="shared" si="7"/>
        <v>388692826.19999999</v>
      </c>
      <c r="L46" s="579" t="e">
        <f>L18+L21+L22+L23+L25+L26+L27+L31+L32+L33+L35+L36+L37+L38+L40+L41+L42+#REF!+#REF!+L43+L44+L45</f>
        <v>#REF!</v>
      </c>
      <c r="M46" s="579" t="e">
        <f>M18+M21+M22+M23+M25+M26+M27+M31+M32+M33+M35+M36+M37+M38+M40+M41+M42+#REF!+#REF!+M43+M44+M45</f>
        <v>#REF!</v>
      </c>
      <c r="N46" s="579" t="e">
        <f>N18+N21+N22+N23+N25+N26+N27+N31+N32+N33+N35+N36+N37+N38+N40+N41+N42+#REF!+#REF!+N43+N44+N45</f>
        <v>#REF!</v>
      </c>
      <c r="O46" s="579" t="e">
        <f>O18+O21+O22+O23+O25+O26+O27+O31+O32+O33+O35+O36+O37+O38+O40+O41+O42+#REF!+#REF!+O43+O44+O45</f>
        <v>#REF!</v>
      </c>
      <c r="P46" s="579"/>
      <c r="Q46" s="467" t="s">
        <v>73</v>
      </c>
      <c r="R46" s="468"/>
      <c r="S46" s="577" t="s">
        <v>443</v>
      </c>
    </row>
    <row r="47" spans="1:19" ht="22.5" customHeight="1" x14ac:dyDescent="0.35">
      <c r="A47" s="447"/>
      <c r="B47" s="589" t="s">
        <v>597</v>
      </c>
      <c r="C47" s="450"/>
      <c r="D47" s="570"/>
      <c r="E47" s="578"/>
      <c r="F47" s="578"/>
      <c r="G47" s="579"/>
      <c r="H47" s="579"/>
      <c r="I47" s="469">
        <v>124800000</v>
      </c>
      <c r="J47" s="469"/>
      <c r="K47" s="455">
        <f t="shared" si="7"/>
        <v>124800000</v>
      </c>
      <c r="L47" s="579"/>
      <c r="M47" s="579"/>
      <c r="N47" s="579"/>
      <c r="O47" s="579"/>
      <c r="P47" s="579"/>
      <c r="Q47" s="467" t="s">
        <v>73</v>
      </c>
      <c r="R47" s="550"/>
      <c r="S47" s="580"/>
    </row>
    <row r="48" spans="1:19" ht="27" customHeight="1" x14ac:dyDescent="0.35">
      <c r="A48" s="447"/>
      <c r="B48" s="589" t="s">
        <v>598</v>
      </c>
      <c r="C48" s="450"/>
      <c r="D48" s="588"/>
      <c r="E48" s="578"/>
      <c r="F48" s="578"/>
      <c r="G48" s="579"/>
      <c r="H48" s="579"/>
      <c r="I48" s="469">
        <v>177055267</v>
      </c>
      <c r="J48" s="469"/>
      <c r="K48" s="455">
        <f t="shared" si="7"/>
        <v>177055267</v>
      </c>
      <c r="L48" s="579"/>
      <c r="M48" s="579"/>
      <c r="N48" s="579"/>
      <c r="O48" s="579"/>
      <c r="P48" s="579"/>
      <c r="Q48" s="467" t="s">
        <v>73</v>
      </c>
      <c r="R48" s="550"/>
      <c r="S48" s="580"/>
    </row>
    <row r="49" spans="1:19" s="472" customFormat="1" x14ac:dyDescent="0.35">
      <c r="A49" s="470"/>
      <c r="B49" s="565"/>
      <c r="C49" s="598" t="s">
        <v>472</v>
      </c>
      <c r="D49" s="598"/>
      <c r="E49" s="599"/>
      <c r="F49" s="600" t="e">
        <f>F19+F22+F23+F24+F26+F27+F28+F32+F33+F34+F36+F37+F38+F39+F41+F42+#REF!+#REF!+F43+F44+F45+F46</f>
        <v>#REF!</v>
      </c>
      <c r="G49" s="600" t="e">
        <f>G19+G22+G23+G24+G26+G27+G28+G32+G33+G34+G36+G37+G38+G39+G41+G42+#REF!+#REF!+G43+G44+G45+G46</f>
        <v>#REF!</v>
      </c>
      <c r="H49" s="600" t="e">
        <f>H19+H22+H23+H24+H26+H27+H28+H32+H33+H34+H36+H37+H38+H39+H41+H42+#REF!+#REF!+H43+H44+H45+H46</f>
        <v>#REF!</v>
      </c>
      <c r="I49" s="601">
        <f>SUM(I19:I48)</f>
        <v>4456434023.3999996</v>
      </c>
      <c r="J49" s="601">
        <f>SUM(J19:J48)</f>
        <v>1775166223.5494001</v>
      </c>
      <c r="K49" s="601">
        <f>SUM(K19:K48)</f>
        <v>2681267799.8505998</v>
      </c>
      <c r="L49" s="600" t="e">
        <f>L19+L22+L23+L24+L26+L27+L28+L32+L33+L34+L36+L37+L38+L39+L41+L42+#REF!+#REF!+L43+L44+L45+L46</f>
        <v>#REF!</v>
      </c>
      <c r="M49" s="600" t="e">
        <f>M19+M22+M23+M24+M26+M27+M28+M32+M33+M34+M36+M37+M38+M39+M41+M42+#REF!+#REF!+M43+M44+M45+M46</f>
        <v>#REF!</v>
      </c>
      <c r="N49" s="600" t="e">
        <f>N19+N22+N23+N24+N26+N27+N28+N32+N33+N34+N36+N37+N38+N39+N41+N42+#REF!+#REF!+N43+N44+N45+N46</f>
        <v>#REF!</v>
      </c>
      <c r="O49" s="600" t="e">
        <f>O19+O22+O23+O24+O26+O27+O28+O32+O33+O34+O36+O37+O38+O39+O41+O42+#REF!+#REF!+O43+O44+O45+O46</f>
        <v>#REF!</v>
      </c>
      <c r="P49" s="600"/>
      <c r="Q49" s="600"/>
      <c r="R49" s="471"/>
      <c r="S49" s="581"/>
    </row>
    <row r="50" spans="1:19" x14ac:dyDescent="0.35">
      <c r="A50" s="447"/>
      <c r="B50" s="454" t="s">
        <v>508</v>
      </c>
      <c r="C50" s="653" t="s">
        <v>86</v>
      </c>
      <c r="D50" s="653"/>
      <c r="E50" s="653"/>
      <c r="F50" s="653"/>
      <c r="G50" s="653"/>
      <c r="H50" s="653"/>
      <c r="I50" s="653"/>
      <c r="J50" s="653"/>
      <c r="K50" s="653"/>
      <c r="L50" s="653"/>
      <c r="M50" s="653"/>
      <c r="N50" s="653"/>
      <c r="O50" s="653"/>
      <c r="P50" s="653"/>
      <c r="Q50" s="653"/>
      <c r="R50" s="568"/>
      <c r="S50" s="473"/>
    </row>
    <row r="51" spans="1:19" ht="56" x14ac:dyDescent="0.35">
      <c r="A51" s="447">
        <v>33</v>
      </c>
      <c r="B51" s="454">
        <v>1</v>
      </c>
      <c r="C51" s="467" t="s">
        <v>89</v>
      </c>
      <c r="D51" s="570">
        <v>1</v>
      </c>
      <c r="E51" s="570" t="s">
        <v>271</v>
      </c>
      <c r="F51" s="455">
        <v>140000000</v>
      </c>
      <c r="G51" s="455">
        <f>Annexures!D164</f>
        <v>104307906.2</v>
      </c>
      <c r="H51" s="455">
        <f>Annexures!M164</f>
        <v>37379380.409999996</v>
      </c>
      <c r="I51" s="474">
        <f>Annexures!O164</f>
        <v>200000000</v>
      </c>
      <c r="J51" s="455">
        <f>Annexures!P164</f>
        <v>133000000</v>
      </c>
      <c r="K51" s="455">
        <f t="shared" ref="K51:K63" si="9">I51-J51</f>
        <v>67000000</v>
      </c>
      <c r="L51" s="449">
        <v>67150</v>
      </c>
      <c r="M51" s="495">
        <v>12087</v>
      </c>
      <c r="N51" s="449">
        <v>0</v>
      </c>
      <c r="O51" s="463">
        <f t="shared" si="8"/>
        <v>79237</v>
      </c>
      <c r="P51" s="447" t="s">
        <v>19</v>
      </c>
      <c r="Q51" s="568" t="s">
        <v>88</v>
      </c>
      <c r="R51" s="450" t="s">
        <v>445</v>
      </c>
      <c r="S51" s="460"/>
    </row>
    <row r="52" spans="1:19" ht="42" x14ac:dyDescent="0.35">
      <c r="A52" s="447">
        <v>34</v>
      </c>
      <c r="B52" s="454">
        <v>2</v>
      </c>
      <c r="C52" s="450" t="s">
        <v>90</v>
      </c>
      <c r="D52" s="570">
        <v>2</v>
      </c>
      <c r="E52" s="570" t="s">
        <v>271</v>
      </c>
      <c r="F52" s="455">
        <v>5000000</v>
      </c>
      <c r="G52" s="455">
        <f>Annexures!D169</f>
        <v>4762699.26</v>
      </c>
      <c r="H52" s="455">
        <f>Annexures!M169</f>
        <v>986791.26</v>
      </c>
      <c r="I52" s="474">
        <f>Annexures!O169</f>
        <v>5000000</v>
      </c>
      <c r="J52" s="455">
        <f>Annexures!P169</f>
        <v>3562500</v>
      </c>
      <c r="K52" s="455">
        <f t="shared" si="9"/>
        <v>1437500</v>
      </c>
      <c r="L52" s="449">
        <v>4185</v>
      </c>
      <c r="M52" s="495">
        <v>753.3</v>
      </c>
      <c r="N52" s="449">
        <v>0</v>
      </c>
      <c r="O52" s="463">
        <f t="shared" si="8"/>
        <v>4938.3</v>
      </c>
      <c r="P52" s="447" t="s">
        <v>10</v>
      </c>
      <c r="Q52" s="563" t="s">
        <v>88</v>
      </c>
      <c r="R52" s="450" t="s">
        <v>446</v>
      </c>
      <c r="S52" s="460"/>
    </row>
    <row r="53" spans="1:19" ht="56" x14ac:dyDescent="0.35">
      <c r="A53" s="447">
        <v>35</v>
      </c>
      <c r="B53" s="454">
        <v>3</v>
      </c>
      <c r="C53" s="467" t="s">
        <v>91</v>
      </c>
      <c r="D53" s="570">
        <v>1</v>
      </c>
      <c r="E53" s="570" t="s">
        <v>271</v>
      </c>
      <c r="F53" s="455">
        <v>23420938</v>
      </c>
      <c r="G53" s="455">
        <f>Annexures!D172</f>
        <v>10513594</v>
      </c>
      <c r="H53" s="455">
        <f>Annexures!M172</f>
        <v>7021065</v>
      </c>
      <c r="I53" s="474">
        <f>Annexures!O172</f>
        <v>25000000</v>
      </c>
      <c r="J53" s="455">
        <f>Annexures!P172</f>
        <v>8906250</v>
      </c>
      <c r="K53" s="455">
        <f t="shared" si="9"/>
        <v>16093750</v>
      </c>
      <c r="L53" s="449">
        <v>13232</v>
      </c>
      <c r="M53" s="495">
        <v>2381.7600000000002</v>
      </c>
      <c r="N53" s="495">
        <v>0</v>
      </c>
      <c r="O53" s="463">
        <f t="shared" si="8"/>
        <v>15613.76</v>
      </c>
      <c r="P53" s="447" t="s">
        <v>19</v>
      </c>
      <c r="Q53" s="568" t="s">
        <v>88</v>
      </c>
      <c r="R53" s="450" t="s">
        <v>447</v>
      </c>
      <c r="S53" s="460"/>
    </row>
    <row r="54" spans="1:19" ht="42" x14ac:dyDescent="0.35">
      <c r="A54" s="447">
        <v>36</v>
      </c>
      <c r="B54" s="454">
        <v>4</v>
      </c>
      <c r="C54" s="467" t="s">
        <v>92</v>
      </c>
      <c r="D54" s="570">
        <v>2</v>
      </c>
      <c r="E54" s="570" t="s">
        <v>271</v>
      </c>
      <c r="F54" s="455">
        <v>1792124</v>
      </c>
      <c r="G54" s="455">
        <f>Annexures!D177</f>
        <v>807562</v>
      </c>
      <c r="H54" s="455">
        <f>Annexures!M177</f>
        <v>563910</v>
      </c>
      <c r="I54" s="474">
        <f>Annexures!O177</f>
        <v>1800000</v>
      </c>
      <c r="J54" s="455">
        <f>Annexures!P177</f>
        <v>641250</v>
      </c>
      <c r="K54" s="455">
        <f t="shared" si="9"/>
        <v>1158750</v>
      </c>
      <c r="L54" s="449">
        <v>2180</v>
      </c>
      <c r="M54" s="495">
        <v>392.4</v>
      </c>
      <c r="N54" s="495">
        <v>0</v>
      </c>
      <c r="O54" s="463">
        <f t="shared" si="8"/>
        <v>2572.4</v>
      </c>
      <c r="P54" s="447" t="s">
        <v>10</v>
      </c>
      <c r="Q54" s="563" t="s">
        <v>88</v>
      </c>
      <c r="R54" s="450" t="s">
        <v>448</v>
      </c>
      <c r="S54" s="460"/>
    </row>
    <row r="55" spans="1:19" ht="42" x14ac:dyDescent="0.35">
      <c r="A55" s="447">
        <v>37</v>
      </c>
      <c r="B55" s="454">
        <v>5</v>
      </c>
      <c r="C55" s="467" t="s">
        <v>93</v>
      </c>
      <c r="D55" s="570">
        <v>1</v>
      </c>
      <c r="E55" s="570" t="s">
        <v>271</v>
      </c>
      <c r="F55" s="455">
        <v>1525078</v>
      </c>
      <c r="G55" s="455">
        <f>687227</f>
        <v>687227</v>
      </c>
      <c r="H55" s="455">
        <v>479883</v>
      </c>
      <c r="I55" s="474">
        <f>Annexures!O180</f>
        <v>1800000</v>
      </c>
      <c r="J55" s="455">
        <f>Annexures!P180</f>
        <v>641250</v>
      </c>
      <c r="K55" s="455">
        <f t="shared" si="9"/>
        <v>1158750</v>
      </c>
      <c r="L55" s="449">
        <v>2013</v>
      </c>
      <c r="M55" s="495">
        <v>362.34</v>
      </c>
      <c r="N55" s="449">
        <v>0</v>
      </c>
      <c r="O55" s="463">
        <f t="shared" si="8"/>
        <v>2375.34</v>
      </c>
      <c r="P55" s="447" t="s">
        <v>10</v>
      </c>
      <c r="Q55" s="563" t="s">
        <v>88</v>
      </c>
      <c r="R55" s="450" t="s">
        <v>448</v>
      </c>
      <c r="S55" s="460"/>
    </row>
    <row r="56" spans="1:19" ht="42" x14ac:dyDescent="0.35">
      <c r="A56" s="447">
        <v>38</v>
      </c>
      <c r="B56" s="454">
        <v>6</v>
      </c>
      <c r="C56" s="467" t="s">
        <v>94</v>
      </c>
      <c r="D56" s="570"/>
      <c r="E56" s="570" t="s">
        <v>268</v>
      </c>
      <c r="F56" s="455">
        <v>176200000</v>
      </c>
      <c r="G56" s="455">
        <f>Annexures!D183</f>
        <v>183546150.33000001</v>
      </c>
      <c r="H56" s="455">
        <f>Annexures!M183</f>
        <v>89889354.329999998</v>
      </c>
      <c r="I56" s="474">
        <f>Annexures!O183</f>
        <v>183546150</v>
      </c>
      <c r="J56" s="455">
        <f>Annexures!P183</f>
        <v>76722290.700000003</v>
      </c>
      <c r="K56" s="455">
        <f t="shared" si="9"/>
        <v>106823859.3</v>
      </c>
      <c r="L56" s="449">
        <v>81493</v>
      </c>
      <c r="M56" s="495">
        <f>L56*18/100</f>
        <v>14668.74</v>
      </c>
      <c r="N56" s="449">
        <v>0</v>
      </c>
      <c r="O56" s="463">
        <f t="shared" si="8"/>
        <v>96161.74</v>
      </c>
      <c r="P56" s="447" t="s">
        <v>19</v>
      </c>
      <c r="Q56" s="568" t="s">
        <v>18</v>
      </c>
      <c r="R56" s="447" t="s">
        <v>449</v>
      </c>
      <c r="S56" s="460"/>
    </row>
    <row r="57" spans="1:19" ht="42" x14ac:dyDescent="0.35">
      <c r="A57" s="447">
        <v>39</v>
      </c>
      <c r="B57" s="454">
        <v>7</v>
      </c>
      <c r="C57" s="467" t="s">
        <v>96</v>
      </c>
      <c r="D57" s="570"/>
      <c r="E57" s="570" t="s">
        <v>268</v>
      </c>
      <c r="F57" s="455">
        <v>1750000</v>
      </c>
      <c r="G57" s="455">
        <f>Annexures!D189</f>
        <v>2731598</v>
      </c>
      <c r="H57" s="455">
        <f>Annexures!M189</f>
        <v>1725327</v>
      </c>
      <c r="I57" s="474">
        <f>Annexures!O189</f>
        <v>10000000</v>
      </c>
      <c r="J57" s="455">
        <f>Annexures!P189</f>
        <v>4750000</v>
      </c>
      <c r="K57" s="455">
        <f t="shared" si="9"/>
        <v>5250000</v>
      </c>
      <c r="L57" s="449">
        <v>809</v>
      </c>
      <c r="M57" s="495">
        <f>L57*18/100</f>
        <v>145.62</v>
      </c>
      <c r="N57" s="449">
        <v>0</v>
      </c>
      <c r="O57" s="463">
        <f t="shared" si="8"/>
        <v>954.62</v>
      </c>
      <c r="P57" s="447" t="s">
        <v>19</v>
      </c>
      <c r="Q57" s="568" t="s">
        <v>18</v>
      </c>
      <c r="R57" s="450" t="s">
        <v>451</v>
      </c>
      <c r="S57" s="460"/>
    </row>
    <row r="58" spans="1:19" ht="42" x14ac:dyDescent="0.35">
      <c r="A58" s="447">
        <v>40</v>
      </c>
      <c r="B58" s="454">
        <v>8</v>
      </c>
      <c r="C58" s="467" t="s">
        <v>99</v>
      </c>
      <c r="D58" s="475"/>
      <c r="E58" s="475"/>
      <c r="F58" s="476">
        <v>40000000</v>
      </c>
      <c r="G58" s="455">
        <f>Annexures!D200</f>
        <v>6068816</v>
      </c>
      <c r="H58" s="455">
        <f>Annexures!M200</f>
        <v>32568951</v>
      </c>
      <c r="I58" s="474">
        <f>Annexures!O200</f>
        <v>68000000</v>
      </c>
      <c r="J58" s="455">
        <f>Annexures!P200</f>
        <v>19380000</v>
      </c>
      <c r="K58" s="455">
        <f t="shared" si="9"/>
        <v>48620000</v>
      </c>
      <c r="L58" s="463">
        <v>18500</v>
      </c>
      <c r="M58" s="463">
        <f>L58*18/100</f>
        <v>3330</v>
      </c>
      <c r="N58" s="496">
        <v>0</v>
      </c>
      <c r="O58" s="463">
        <f t="shared" si="8"/>
        <v>21830</v>
      </c>
      <c r="P58" s="447" t="s">
        <v>19</v>
      </c>
      <c r="Q58" s="568" t="s">
        <v>18</v>
      </c>
      <c r="R58" s="450" t="s">
        <v>453</v>
      </c>
      <c r="S58" s="460"/>
    </row>
    <row r="59" spans="1:19" ht="84" x14ac:dyDescent="0.35">
      <c r="A59" s="447">
        <v>41</v>
      </c>
      <c r="B59" s="454">
        <v>9</v>
      </c>
      <c r="C59" s="467" t="s">
        <v>100</v>
      </c>
      <c r="D59" s="570"/>
      <c r="E59" s="570" t="s">
        <v>266</v>
      </c>
      <c r="F59" s="455">
        <v>12000000</v>
      </c>
      <c r="G59" s="455">
        <f>Annexures!D205</f>
        <v>20606536.079999998</v>
      </c>
      <c r="H59" s="455">
        <f>Annexures!M205</f>
        <v>11971068.08</v>
      </c>
      <c r="I59" s="474">
        <f>Annexures!O205</f>
        <v>30000000</v>
      </c>
      <c r="J59" s="455">
        <f>Annexures!P205</f>
        <v>11400000</v>
      </c>
      <c r="K59" s="455">
        <f t="shared" si="9"/>
        <v>18600000</v>
      </c>
      <c r="L59" s="463">
        <v>5550</v>
      </c>
      <c r="M59" s="463">
        <f>L59*18/100</f>
        <v>999</v>
      </c>
      <c r="N59" s="496">
        <v>0</v>
      </c>
      <c r="O59" s="463">
        <f t="shared" si="8"/>
        <v>6549</v>
      </c>
      <c r="P59" s="447" t="s">
        <v>19</v>
      </c>
      <c r="Q59" s="568" t="s">
        <v>18</v>
      </c>
      <c r="R59" s="450" t="s">
        <v>454</v>
      </c>
      <c r="S59" s="460"/>
    </row>
    <row r="60" spans="1:19" ht="70" x14ac:dyDescent="0.35">
      <c r="A60" s="447">
        <v>42</v>
      </c>
      <c r="B60" s="454">
        <v>10</v>
      </c>
      <c r="C60" s="467" t="s">
        <v>101</v>
      </c>
      <c r="D60" s="570"/>
      <c r="E60" s="570"/>
      <c r="F60" s="455">
        <v>2500000</v>
      </c>
      <c r="G60" s="455"/>
      <c r="H60" s="455"/>
      <c r="I60" s="455">
        <f>Annexures!O208</f>
        <v>1500000</v>
      </c>
      <c r="J60" s="455">
        <f>Annexures!P208</f>
        <v>570000</v>
      </c>
      <c r="K60" s="455">
        <f t="shared" si="9"/>
        <v>930000</v>
      </c>
      <c r="L60" s="463">
        <v>1156</v>
      </c>
      <c r="M60" s="463">
        <f>L60*18/100</f>
        <v>208.08</v>
      </c>
      <c r="N60" s="496">
        <v>0</v>
      </c>
      <c r="O60" s="463">
        <f t="shared" si="8"/>
        <v>1364.08</v>
      </c>
      <c r="P60" s="447" t="s">
        <v>19</v>
      </c>
      <c r="Q60" s="568" t="s">
        <v>18</v>
      </c>
      <c r="R60" s="450" t="s">
        <v>455</v>
      </c>
      <c r="S60" s="460"/>
    </row>
    <row r="61" spans="1:19" ht="42" x14ac:dyDescent="0.35">
      <c r="A61" s="447">
        <v>43</v>
      </c>
      <c r="B61" s="454">
        <v>11</v>
      </c>
      <c r="C61" s="447" t="s">
        <v>102</v>
      </c>
      <c r="D61" s="454"/>
      <c r="E61" s="454"/>
      <c r="F61" s="455">
        <v>170000000</v>
      </c>
      <c r="G61" s="455">
        <v>139456732</v>
      </c>
      <c r="H61" s="449">
        <v>102643976</v>
      </c>
      <c r="I61" s="466">
        <v>180000000</v>
      </c>
      <c r="J61" s="449">
        <v>51300000</v>
      </c>
      <c r="K61" s="455">
        <f t="shared" si="9"/>
        <v>128700000</v>
      </c>
      <c r="L61" s="449"/>
      <c r="M61" s="449"/>
      <c r="N61" s="449"/>
      <c r="O61" s="449"/>
      <c r="P61" s="447"/>
      <c r="Q61" s="593" t="s">
        <v>18</v>
      </c>
      <c r="R61" s="447" t="s">
        <v>432</v>
      </c>
      <c r="S61" s="477"/>
    </row>
    <row r="62" spans="1:19" ht="42" x14ac:dyDescent="0.35">
      <c r="A62" s="447">
        <v>44</v>
      </c>
      <c r="B62" s="454">
        <v>12</v>
      </c>
      <c r="C62" s="582" t="s">
        <v>456</v>
      </c>
      <c r="D62" s="454"/>
      <c r="E62" s="454"/>
      <c r="F62" s="458"/>
      <c r="G62" s="458">
        <v>9800000</v>
      </c>
      <c r="H62" s="458"/>
      <c r="I62" s="466">
        <v>9800000</v>
      </c>
      <c r="J62" s="466">
        <v>570000</v>
      </c>
      <c r="K62" s="455">
        <f t="shared" si="9"/>
        <v>9230000</v>
      </c>
      <c r="L62" s="458"/>
      <c r="M62" s="458"/>
      <c r="N62" s="458"/>
      <c r="O62" s="478"/>
      <c r="P62" s="447"/>
      <c r="Q62" s="593" t="s">
        <v>18</v>
      </c>
      <c r="R62" s="583" t="s">
        <v>457</v>
      </c>
    </row>
    <row r="63" spans="1:19" ht="56" x14ac:dyDescent="0.35">
      <c r="A63" s="447">
        <v>45</v>
      </c>
      <c r="B63" s="454">
        <v>13</v>
      </c>
      <c r="C63" s="582" t="s">
        <v>458</v>
      </c>
      <c r="D63" s="454"/>
      <c r="E63" s="454"/>
      <c r="F63" s="458"/>
      <c r="G63" s="458">
        <v>5875000</v>
      </c>
      <c r="H63" s="458"/>
      <c r="I63" s="466">
        <v>7500000</v>
      </c>
      <c r="J63" s="466">
        <v>223250</v>
      </c>
      <c r="K63" s="455">
        <f t="shared" si="9"/>
        <v>7276750</v>
      </c>
      <c r="L63" s="458"/>
      <c r="M63" s="458"/>
      <c r="N63" s="458"/>
      <c r="O63" s="478"/>
      <c r="P63" s="447"/>
      <c r="Q63" s="593" t="s">
        <v>18</v>
      </c>
      <c r="R63" s="584" t="s">
        <v>459</v>
      </c>
    </row>
    <row r="64" spans="1:19" ht="84" x14ac:dyDescent="0.35">
      <c r="A64" s="447">
        <v>46</v>
      </c>
      <c r="B64" s="454">
        <v>14</v>
      </c>
      <c r="C64" s="582" t="s">
        <v>460</v>
      </c>
      <c r="D64" s="454"/>
      <c r="E64" s="454"/>
      <c r="F64" s="458"/>
      <c r="G64" s="458">
        <v>24600000</v>
      </c>
      <c r="H64" s="458"/>
      <c r="I64" s="466">
        <v>24600000</v>
      </c>
      <c r="J64" s="466">
        <v>779000</v>
      </c>
      <c r="K64" s="455">
        <f>I64-J64</f>
        <v>23821000</v>
      </c>
      <c r="L64" s="458"/>
      <c r="M64" s="458"/>
      <c r="N64" s="458"/>
      <c r="O64" s="478"/>
      <c r="P64" s="447"/>
      <c r="Q64" s="593" t="s">
        <v>18</v>
      </c>
      <c r="R64" s="584" t="s">
        <v>461</v>
      </c>
    </row>
    <row r="65" spans="1:21" ht="56" x14ac:dyDescent="0.35">
      <c r="A65" s="447">
        <v>47</v>
      </c>
      <c r="B65" s="454">
        <v>15</v>
      </c>
      <c r="C65" s="467" t="s">
        <v>462</v>
      </c>
      <c r="D65" s="454"/>
      <c r="E65" s="454"/>
      <c r="F65" s="458"/>
      <c r="G65" s="458">
        <v>2800000</v>
      </c>
      <c r="H65" s="458"/>
      <c r="I65" s="466">
        <v>2800000</v>
      </c>
      <c r="J65" s="466">
        <v>177333</v>
      </c>
      <c r="K65" s="455">
        <f t="shared" ref="K65" si="10">I65-J65</f>
        <v>2622667</v>
      </c>
      <c r="L65" s="458"/>
      <c r="M65" s="458"/>
      <c r="N65" s="458"/>
      <c r="O65" s="478"/>
      <c r="P65" s="447"/>
      <c r="Q65" s="593" t="s">
        <v>18</v>
      </c>
      <c r="R65" s="450" t="s">
        <v>463</v>
      </c>
    </row>
    <row r="66" spans="1:21" x14ac:dyDescent="0.35">
      <c r="A66" s="447"/>
      <c r="B66" s="454"/>
      <c r="C66" s="595" t="s">
        <v>474</v>
      </c>
      <c r="D66" s="596"/>
      <c r="E66" s="596"/>
      <c r="F66" s="597">
        <f>F51+F52+F53+F54+F55+F56+F57+F58+F59+F60+F62+F63+F64+F65</f>
        <v>404188140</v>
      </c>
      <c r="G66" s="597">
        <f t="shared" ref="G66:H66" si="11">G51+G52+G53+G54+G55+G56+G57+G58+G59+G60+G62+G63+G64+G65</f>
        <v>377107088.87</v>
      </c>
      <c r="H66" s="597">
        <f t="shared" si="11"/>
        <v>182585730.08000001</v>
      </c>
      <c r="I66" s="597">
        <f>SUM(I51:I65)</f>
        <v>751346150</v>
      </c>
      <c r="J66" s="597">
        <f>SUM(J51:J65)</f>
        <v>312623123.69999999</v>
      </c>
      <c r="K66" s="597">
        <f>SUM(K51:K65)</f>
        <v>438723026.30000001</v>
      </c>
      <c r="L66" s="597">
        <f>L51+L52+L53+L54+L55+L56+L57+L58+L59+L60+L62+L63+L64+L65</f>
        <v>196268</v>
      </c>
      <c r="M66" s="597">
        <f t="shared" ref="M66:O66" si="12">M51+M52+M53+M54+M55+M56+M57+M58+M59+M60+M62+M63+M64+M65</f>
        <v>35328.240000000005</v>
      </c>
      <c r="N66" s="597">
        <f t="shared" si="12"/>
        <v>0</v>
      </c>
      <c r="O66" s="597">
        <f t="shared" si="12"/>
        <v>231596.23999999996</v>
      </c>
      <c r="P66" s="597"/>
      <c r="Q66" s="597"/>
      <c r="R66" s="450"/>
    </row>
    <row r="67" spans="1:21" x14ac:dyDescent="0.35">
      <c r="A67" s="447"/>
      <c r="B67" s="454" t="s">
        <v>507</v>
      </c>
      <c r="C67" s="602" t="s">
        <v>104</v>
      </c>
      <c r="D67" s="605"/>
      <c r="E67" s="605"/>
      <c r="F67" s="606"/>
      <c r="G67" s="606"/>
      <c r="H67" s="606"/>
      <c r="I67" s="606"/>
      <c r="J67" s="606"/>
      <c r="K67" s="606"/>
      <c r="L67" s="607"/>
      <c r="M67" s="607"/>
      <c r="N67" s="607"/>
      <c r="O67" s="608"/>
      <c r="P67" s="609"/>
      <c r="Q67" s="610"/>
      <c r="R67" s="459"/>
      <c r="S67" s="460"/>
    </row>
    <row r="68" spans="1:21" x14ac:dyDescent="0.35">
      <c r="A68" s="447"/>
      <c r="B68" s="566" t="s">
        <v>105</v>
      </c>
      <c r="C68" s="467"/>
      <c r="D68" s="570"/>
      <c r="E68" s="570"/>
      <c r="F68" s="455"/>
      <c r="G68" s="455"/>
      <c r="H68" s="455"/>
      <c r="I68" s="455"/>
      <c r="J68" s="455"/>
      <c r="K68" s="455"/>
      <c r="L68" s="449"/>
      <c r="M68" s="449"/>
      <c r="N68" s="449"/>
      <c r="O68" s="463"/>
      <c r="P68" s="447"/>
      <c r="Q68" s="568"/>
      <c r="R68" s="459"/>
      <c r="S68" s="460"/>
    </row>
    <row r="69" spans="1:21" ht="28" x14ac:dyDescent="0.35">
      <c r="A69" s="447">
        <v>48</v>
      </c>
      <c r="B69" s="454">
        <v>1</v>
      </c>
      <c r="C69" s="467" t="s">
        <v>116</v>
      </c>
      <c r="D69" s="570">
        <v>1</v>
      </c>
      <c r="E69" s="570"/>
      <c r="F69" s="455">
        <v>175000</v>
      </c>
      <c r="G69" s="455"/>
      <c r="H69" s="455"/>
      <c r="I69" s="455">
        <v>250000</v>
      </c>
      <c r="J69" s="455">
        <f>EDP!K16</f>
        <v>237500</v>
      </c>
      <c r="K69" s="455">
        <f t="shared" ref="K69:K83" si="13">I69-J69</f>
        <v>12500</v>
      </c>
      <c r="L69" s="463">
        <v>875</v>
      </c>
      <c r="M69" s="463">
        <f>L69*18%</f>
        <v>157.5</v>
      </c>
      <c r="N69" s="463">
        <v>0</v>
      </c>
      <c r="O69" s="463">
        <f t="shared" si="8"/>
        <v>1032.5</v>
      </c>
      <c r="P69" s="447" t="s">
        <v>79</v>
      </c>
      <c r="Q69" s="563" t="s">
        <v>107</v>
      </c>
      <c r="R69" s="480" t="s">
        <v>465</v>
      </c>
      <c r="S69" s="455"/>
    </row>
    <row r="70" spans="1:21" ht="28" x14ac:dyDescent="0.35">
      <c r="A70" s="447"/>
      <c r="B70" s="566" t="s">
        <v>120</v>
      </c>
      <c r="C70" s="467"/>
      <c r="D70" s="570"/>
      <c r="E70" s="570"/>
      <c r="F70" s="455"/>
      <c r="G70" s="455"/>
      <c r="H70" s="455"/>
      <c r="I70" s="455"/>
      <c r="J70" s="455"/>
      <c r="K70" s="455"/>
      <c r="L70" s="449"/>
      <c r="M70" s="449"/>
      <c r="N70" s="449"/>
      <c r="O70" s="463"/>
      <c r="P70" s="447"/>
      <c r="Q70" s="568"/>
      <c r="R70" s="480" t="s">
        <v>465</v>
      </c>
    </row>
    <row r="71" spans="1:21" ht="28" x14ac:dyDescent="0.35">
      <c r="A71" s="447">
        <v>49</v>
      </c>
      <c r="B71" s="454">
        <v>2</v>
      </c>
      <c r="C71" s="467" t="s">
        <v>127</v>
      </c>
      <c r="D71" s="570">
        <v>4</v>
      </c>
      <c r="E71" s="570"/>
      <c r="F71" s="455">
        <v>3339000</v>
      </c>
      <c r="G71" s="455"/>
      <c r="H71" s="455"/>
      <c r="I71" s="455">
        <v>5000000</v>
      </c>
      <c r="J71" s="455">
        <f>EDP!K27</f>
        <v>4750000</v>
      </c>
      <c r="K71" s="455">
        <f t="shared" si="13"/>
        <v>250000</v>
      </c>
      <c r="L71" s="463">
        <v>16695</v>
      </c>
      <c r="M71" s="463">
        <f>L71*18%</f>
        <v>3005.1</v>
      </c>
      <c r="N71" s="463">
        <v>0</v>
      </c>
      <c r="O71" s="463">
        <f t="shared" si="8"/>
        <v>19700.099999999999</v>
      </c>
      <c r="P71" s="447" t="s">
        <v>79</v>
      </c>
      <c r="Q71" s="563" t="s">
        <v>107</v>
      </c>
      <c r="R71" s="480" t="s">
        <v>465</v>
      </c>
      <c r="S71" s="473"/>
      <c r="U71" s="560"/>
    </row>
    <row r="72" spans="1:21" x14ac:dyDescent="0.35">
      <c r="A72" s="447"/>
      <c r="B72" s="566" t="s">
        <v>537</v>
      </c>
      <c r="C72" s="569"/>
      <c r="D72" s="454"/>
      <c r="E72" s="454"/>
      <c r="F72" s="457"/>
      <c r="G72" s="457"/>
      <c r="H72" s="457"/>
      <c r="I72" s="457"/>
      <c r="J72" s="457"/>
      <c r="K72" s="457"/>
      <c r="L72" s="449"/>
      <c r="M72" s="449"/>
      <c r="N72" s="449"/>
      <c r="O72" s="463"/>
      <c r="P72" s="447"/>
      <c r="Q72" s="568"/>
      <c r="R72" s="481"/>
      <c r="S72" s="473"/>
    </row>
    <row r="73" spans="1:21" ht="28" x14ac:dyDescent="0.35">
      <c r="A73" s="447">
        <v>50</v>
      </c>
      <c r="B73" s="454">
        <v>3</v>
      </c>
      <c r="C73" s="467" t="s">
        <v>136</v>
      </c>
      <c r="D73" s="570">
        <v>2</v>
      </c>
      <c r="E73" s="570"/>
      <c r="F73" s="455">
        <v>95000</v>
      </c>
      <c r="G73" s="455"/>
      <c r="H73" s="455"/>
      <c r="I73" s="455">
        <v>108000</v>
      </c>
      <c r="J73" s="455">
        <f>EDP!K36</f>
        <v>102600</v>
      </c>
      <c r="K73" s="455">
        <f t="shared" si="13"/>
        <v>5400</v>
      </c>
      <c r="L73" s="463">
        <v>475</v>
      </c>
      <c r="M73" s="463">
        <f t="shared" ref="M73:M77" si="14">L73*18%</f>
        <v>85.5</v>
      </c>
      <c r="N73" s="463">
        <v>0</v>
      </c>
      <c r="O73" s="463">
        <f t="shared" si="8"/>
        <v>560.5</v>
      </c>
      <c r="P73" s="447" t="s">
        <v>79</v>
      </c>
      <c r="Q73" s="563" t="s">
        <v>107</v>
      </c>
      <c r="R73" s="480" t="s">
        <v>465</v>
      </c>
      <c r="S73" s="473"/>
      <c r="U73" s="560"/>
    </row>
    <row r="74" spans="1:21" ht="28" x14ac:dyDescent="0.35">
      <c r="A74" s="447">
        <v>51</v>
      </c>
      <c r="B74" s="454">
        <v>4</v>
      </c>
      <c r="C74" s="450" t="s">
        <v>139</v>
      </c>
      <c r="D74" s="570">
        <v>1</v>
      </c>
      <c r="E74" s="570"/>
      <c r="F74" s="455">
        <v>70000</v>
      </c>
      <c r="G74" s="455"/>
      <c r="H74" s="455"/>
      <c r="I74" s="455">
        <v>75000</v>
      </c>
      <c r="J74" s="455">
        <f>EDP!K39</f>
        <v>71250</v>
      </c>
      <c r="K74" s="455">
        <f t="shared" si="13"/>
        <v>3750</v>
      </c>
      <c r="L74" s="463">
        <v>350</v>
      </c>
      <c r="M74" s="463">
        <f t="shared" si="14"/>
        <v>63</v>
      </c>
      <c r="N74" s="463">
        <v>0</v>
      </c>
      <c r="O74" s="463">
        <f>L74+M74+N74</f>
        <v>413</v>
      </c>
      <c r="P74" s="447" t="s">
        <v>79</v>
      </c>
      <c r="Q74" s="563" t="s">
        <v>107</v>
      </c>
      <c r="R74" s="480" t="s">
        <v>465</v>
      </c>
      <c r="S74" s="473"/>
    </row>
    <row r="75" spans="1:21" ht="28" x14ac:dyDescent="0.35">
      <c r="A75" s="447">
        <v>52</v>
      </c>
      <c r="B75" s="454">
        <v>5</v>
      </c>
      <c r="C75" s="569" t="s">
        <v>142</v>
      </c>
      <c r="D75" s="454">
        <v>1</v>
      </c>
      <c r="E75" s="454"/>
      <c r="F75" s="457">
        <v>40000</v>
      </c>
      <c r="G75" s="457"/>
      <c r="H75" s="457"/>
      <c r="I75" s="457">
        <v>38000</v>
      </c>
      <c r="J75" s="457">
        <f>EDP!K42</f>
        <v>36100</v>
      </c>
      <c r="K75" s="455">
        <f t="shared" si="13"/>
        <v>1900</v>
      </c>
      <c r="L75" s="463">
        <v>200</v>
      </c>
      <c r="M75" s="463">
        <f t="shared" si="14"/>
        <v>36</v>
      </c>
      <c r="N75" s="463">
        <v>0</v>
      </c>
      <c r="O75" s="463">
        <f>L75+M75+N75</f>
        <v>236</v>
      </c>
      <c r="P75" s="447" t="s">
        <v>79</v>
      </c>
      <c r="Q75" s="563" t="s">
        <v>107</v>
      </c>
      <c r="R75" s="480" t="s">
        <v>465</v>
      </c>
      <c r="S75" s="473"/>
    </row>
    <row r="76" spans="1:21" ht="28" x14ac:dyDescent="0.35">
      <c r="A76" s="447">
        <v>53</v>
      </c>
      <c r="B76" s="454">
        <v>6</v>
      </c>
      <c r="C76" s="467" t="s">
        <v>143</v>
      </c>
      <c r="D76" s="570">
        <v>1</v>
      </c>
      <c r="E76" s="570"/>
      <c r="F76" s="457">
        <v>45000</v>
      </c>
      <c r="G76" s="457"/>
      <c r="H76" s="457"/>
      <c r="I76" s="457">
        <v>42500</v>
      </c>
      <c r="J76" s="457">
        <f>EDP!K43</f>
        <v>40375</v>
      </c>
      <c r="K76" s="455">
        <f t="shared" si="13"/>
        <v>2125</v>
      </c>
      <c r="L76" s="463">
        <v>225</v>
      </c>
      <c r="M76" s="463">
        <f t="shared" si="14"/>
        <v>40.5</v>
      </c>
      <c r="N76" s="463">
        <v>0</v>
      </c>
      <c r="O76" s="463">
        <f>L76+M76+N76</f>
        <v>265.5</v>
      </c>
      <c r="P76" s="447" t="s">
        <v>79</v>
      </c>
      <c r="Q76" s="563" t="s">
        <v>107</v>
      </c>
      <c r="R76" s="480" t="s">
        <v>465</v>
      </c>
      <c r="S76" s="473"/>
    </row>
    <row r="77" spans="1:21" ht="28" x14ac:dyDescent="0.35">
      <c r="A77" s="447">
        <v>54</v>
      </c>
      <c r="B77" s="454">
        <v>7</v>
      </c>
      <c r="C77" s="569" t="s">
        <v>144</v>
      </c>
      <c r="D77" s="454">
        <v>1</v>
      </c>
      <c r="E77" s="454"/>
      <c r="F77" s="457">
        <v>40000</v>
      </c>
      <c r="G77" s="457"/>
      <c r="H77" s="457"/>
      <c r="I77" s="457">
        <v>47000</v>
      </c>
      <c r="J77" s="457">
        <f>EDP!K44</f>
        <v>29766.666666666668</v>
      </c>
      <c r="K77" s="455">
        <f t="shared" si="13"/>
        <v>17233.333333333332</v>
      </c>
      <c r="L77" s="463">
        <v>200</v>
      </c>
      <c r="M77" s="463">
        <f t="shared" si="14"/>
        <v>36</v>
      </c>
      <c r="N77" s="463">
        <v>0</v>
      </c>
      <c r="O77" s="463">
        <f>L77+M77+N77</f>
        <v>236</v>
      </c>
      <c r="P77" s="447" t="s">
        <v>79</v>
      </c>
      <c r="Q77" s="563" t="s">
        <v>107</v>
      </c>
      <c r="R77" s="480" t="s">
        <v>465</v>
      </c>
      <c r="S77" s="473"/>
    </row>
    <row r="78" spans="1:21" x14ac:dyDescent="0.35">
      <c r="A78" s="447">
        <v>55</v>
      </c>
      <c r="B78" s="454">
        <v>8</v>
      </c>
      <c r="C78" s="569" t="s">
        <v>437</v>
      </c>
      <c r="D78" s="454">
        <v>1</v>
      </c>
      <c r="E78" s="454"/>
      <c r="F78" s="457"/>
      <c r="G78" s="455"/>
      <c r="H78" s="457"/>
      <c r="I78" s="455">
        <v>127800</v>
      </c>
      <c r="J78" s="482">
        <f>EDP!K46</f>
        <v>0</v>
      </c>
      <c r="K78" s="455">
        <f t="shared" si="13"/>
        <v>127800</v>
      </c>
      <c r="L78" s="455">
        <f>J78-K78</f>
        <v>-127800</v>
      </c>
      <c r="M78" s="463"/>
      <c r="N78" s="463"/>
      <c r="O78" s="463"/>
      <c r="P78" s="463"/>
      <c r="Q78" s="592" t="s">
        <v>107</v>
      </c>
      <c r="R78" s="473"/>
      <c r="S78" s="473"/>
    </row>
    <row r="79" spans="1:21" x14ac:dyDescent="0.35">
      <c r="A79" s="447">
        <v>56</v>
      </c>
      <c r="B79" s="454">
        <v>9</v>
      </c>
      <c r="C79" s="569" t="s">
        <v>518</v>
      </c>
      <c r="D79" s="454">
        <v>1</v>
      </c>
      <c r="E79" s="569"/>
      <c r="F79" s="569"/>
      <c r="G79" s="569"/>
      <c r="H79" s="569"/>
      <c r="I79" s="517">
        <v>48728</v>
      </c>
      <c r="J79" s="447">
        <v>0</v>
      </c>
      <c r="K79" s="455">
        <f t="shared" si="13"/>
        <v>48728</v>
      </c>
      <c r="L79" s="455"/>
      <c r="M79" s="463"/>
      <c r="N79" s="463"/>
      <c r="O79" s="463"/>
      <c r="P79" s="463"/>
      <c r="Q79" s="592" t="s">
        <v>107</v>
      </c>
      <c r="R79" s="473"/>
      <c r="S79" s="473"/>
    </row>
    <row r="80" spans="1:21" x14ac:dyDescent="0.35">
      <c r="A80" s="447">
        <v>57</v>
      </c>
      <c r="B80" s="454">
        <v>10</v>
      </c>
      <c r="C80" s="569" t="s">
        <v>519</v>
      </c>
      <c r="D80" s="454">
        <v>1</v>
      </c>
      <c r="E80" s="569"/>
      <c r="F80" s="569"/>
      <c r="G80" s="569"/>
      <c r="H80" s="569"/>
      <c r="I80" s="517">
        <v>75000</v>
      </c>
      <c r="J80" s="447">
        <v>30000</v>
      </c>
      <c r="K80" s="455">
        <f t="shared" si="13"/>
        <v>45000</v>
      </c>
      <c r="L80" s="455"/>
      <c r="M80" s="463"/>
      <c r="N80" s="463"/>
      <c r="O80" s="463"/>
      <c r="P80" s="463"/>
      <c r="Q80" s="592" t="s">
        <v>107</v>
      </c>
      <c r="R80" s="473"/>
      <c r="S80" s="473"/>
    </row>
    <row r="81" spans="1:21" ht="15.5" x14ac:dyDescent="0.35">
      <c r="A81" s="447">
        <v>58</v>
      </c>
      <c r="B81" s="454">
        <v>11</v>
      </c>
      <c r="C81" s="569" t="s">
        <v>520</v>
      </c>
      <c r="D81" s="454">
        <v>2</v>
      </c>
      <c r="E81" s="569"/>
      <c r="F81" s="569"/>
      <c r="G81" s="569"/>
      <c r="H81" s="569"/>
      <c r="I81" s="517">
        <v>134380</v>
      </c>
      <c r="J81" s="447">
        <v>0</v>
      </c>
      <c r="K81" s="455">
        <f t="shared" si="13"/>
        <v>134380</v>
      </c>
      <c r="L81" s="455"/>
      <c r="M81" s="463"/>
      <c r="N81" s="463"/>
      <c r="O81" s="463"/>
      <c r="P81" s="463"/>
      <c r="Q81" s="592" t="s">
        <v>107</v>
      </c>
      <c r="R81" s="473"/>
      <c r="S81" s="473"/>
    </row>
    <row r="82" spans="1:21" x14ac:dyDescent="0.35">
      <c r="A82" s="447">
        <v>59</v>
      </c>
      <c r="B82" s="454">
        <v>12</v>
      </c>
      <c r="C82" s="551" t="s">
        <v>583</v>
      </c>
      <c r="D82" s="562"/>
      <c r="E82" s="551"/>
      <c r="F82" s="551"/>
      <c r="G82" s="551"/>
      <c r="H82" s="551"/>
      <c r="I82" s="552">
        <v>134950</v>
      </c>
      <c r="J82" s="553">
        <v>0</v>
      </c>
      <c r="K82" s="455">
        <f t="shared" si="13"/>
        <v>134950</v>
      </c>
      <c r="L82" s="455"/>
      <c r="M82" s="463"/>
      <c r="N82" s="463"/>
      <c r="O82" s="463"/>
      <c r="P82" s="463"/>
      <c r="Q82" s="592" t="s">
        <v>107</v>
      </c>
      <c r="R82" s="473"/>
      <c r="S82" s="473"/>
    </row>
    <row r="83" spans="1:21" ht="14.5" x14ac:dyDescent="0.35">
      <c r="A83" s="447">
        <v>60</v>
      </c>
      <c r="B83" s="454">
        <v>13</v>
      </c>
      <c r="C83" s="585" t="s">
        <v>594</v>
      </c>
      <c r="D83" s="571">
        <v>1</v>
      </c>
      <c r="E83" s="572"/>
      <c r="F83" s="572"/>
      <c r="G83" s="572"/>
      <c r="H83" s="572"/>
      <c r="I83" s="573">
        <v>36144</v>
      </c>
      <c r="J83" s="574"/>
      <c r="K83" s="575">
        <f t="shared" si="13"/>
        <v>36144</v>
      </c>
      <c r="L83" s="455"/>
      <c r="M83" s="463"/>
      <c r="N83" s="463"/>
      <c r="O83" s="463"/>
      <c r="P83" s="463"/>
      <c r="Q83" s="592" t="s">
        <v>107</v>
      </c>
      <c r="R83" s="473"/>
      <c r="S83" s="473"/>
      <c r="T83" s="443" t="s">
        <v>595</v>
      </c>
    </row>
    <row r="84" spans="1:21" x14ac:dyDescent="0.35">
      <c r="A84" s="447"/>
      <c r="B84" s="454"/>
      <c r="C84" s="602" t="s">
        <v>475</v>
      </c>
      <c r="D84" s="603"/>
      <c r="E84" s="603"/>
      <c r="F84" s="604">
        <f>SUM(F73:F83)+F69+F71</f>
        <v>3804000</v>
      </c>
      <c r="G84" s="604">
        <f t="shared" ref="G84:I84" si="15">SUM(G73:G83)+G69+G71</f>
        <v>0</v>
      </c>
      <c r="H84" s="604">
        <f t="shared" si="15"/>
        <v>0</v>
      </c>
      <c r="I84" s="604">
        <f t="shared" si="15"/>
        <v>6117502</v>
      </c>
      <c r="J84" s="604">
        <f t="shared" ref="J84" si="16">SUM(J73:J83)+J69+J71</f>
        <v>5297591.666666667</v>
      </c>
      <c r="K84" s="604">
        <f>SUM(K73:K83)+K69+K71</f>
        <v>819910.33333333337</v>
      </c>
      <c r="L84" s="604">
        <f t="shared" ref="L84" si="17">SUM(L73:L83)+L69+L71</f>
        <v>-108780</v>
      </c>
      <c r="M84" s="604">
        <f t="shared" ref="M84" si="18">SUM(M73:M83)+M69+M71</f>
        <v>3423.6</v>
      </c>
      <c r="N84" s="604">
        <f t="shared" ref="N84" si="19">SUM(N73:N83)+N69+N71</f>
        <v>0</v>
      </c>
      <c r="O84" s="604">
        <f t="shared" ref="O84" si="20">SUM(O73:O83)+O69+O71</f>
        <v>22443.599999999999</v>
      </c>
      <c r="P84" s="604"/>
      <c r="Q84" s="604"/>
      <c r="R84" s="473"/>
      <c r="S84" s="473"/>
      <c r="U84" s="557"/>
    </row>
    <row r="85" spans="1:21" x14ac:dyDescent="0.35">
      <c r="A85" s="447"/>
      <c r="B85" s="454" t="s">
        <v>509</v>
      </c>
      <c r="C85" s="602" t="s">
        <v>159</v>
      </c>
      <c r="D85" s="603"/>
      <c r="E85" s="603"/>
      <c r="F85" s="607"/>
      <c r="G85" s="607"/>
      <c r="H85" s="607"/>
      <c r="I85" s="611"/>
      <c r="J85" s="607"/>
      <c r="K85" s="607"/>
      <c r="L85" s="607"/>
      <c r="M85" s="607"/>
      <c r="N85" s="607"/>
      <c r="O85" s="612"/>
      <c r="P85" s="609"/>
      <c r="Q85" s="613"/>
      <c r="R85" s="450"/>
    </row>
    <row r="86" spans="1:21" ht="70" x14ac:dyDescent="0.35">
      <c r="A86" s="447">
        <v>61</v>
      </c>
      <c r="B86" s="454">
        <v>1</v>
      </c>
      <c r="C86" s="450" t="s">
        <v>517</v>
      </c>
      <c r="D86" s="454"/>
      <c r="E86" s="454"/>
      <c r="F86" s="466">
        <v>700000000</v>
      </c>
      <c r="G86" s="466"/>
      <c r="H86" s="466"/>
      <c r="I86" s="466">
        <v>998400000</v>
      </c>
      <c r="J86" s="482">
        <v>0</v>
      </c>
      <c r="K86" s="455">
        <f t="shared" ref="K86" si="21">I86-J86</f>
        <v>998400000</v>
      </c>
      <c r="L86" s="479">
        <v>148723</v>
      </c>
      <c r="M86" s="479">
        <v>26770</v>
      </c>
      <c r="N86" s="447">
        <v>0</v>
      </c>
      <c r="O86" s="568">
        <f>+L86+M86+N86</f>
        <v>175493</v>
      </c>
      <c r="P86" s="447" t="s">
        <v>44</v>
      </c>
      <c r="Q86" s="467" t="s">
        <v>151</v>
      </c>
      <c r="R86" s="467" t="s">
        <v>464</v>
      </c>
      <c r="S86" s="443">
        <v>800000000</v>
      </c>
    </row>
    <row r="87" spans="1:21" x14ac:dyDescent="0.35">
      <c r="A87" s="447"/>
      <c r="B87" s="454"/>
      <c r="C87" s="598" t="s">
        <v>467</v>
      </c>
      <c r="D87" s="603"/>
      <c r="E87" s="603"/>
      <c r="F87" s="614">
        <f>F86</f>
        <v>700000000</v>
      </c>
      <c r="G87" s="614"/>
      <c r="H87" s="614"/>
      <c r="I87" s="614">
        <f>I86</f>
        <v>998400000</v>
      </c>
      <c r="J87" s="614">
        <f>SUM(J86:J86)</f>
        <v>0</v>
      </c>
      <c r="K87" s="614">
        <f>K86</f>
        <v>998400000</v>
      </c>
      <c r="L87" s="615">
        <f ca="1">SUM(L8:L86)</f>
        <v>4744979</v>
      </c>
      <c r="M87" s="615">
        <f ca="1">SUM(M8:M86)</f>
        <v>900104.96000000008</v>
      </c>
      <c r="N87" s="615">
        <f ca="1">SUM(N8:N86)</f>
        <v>113710</v>
      </c>
      <c r="O87" s="615">
        <f ca="1">SUM(O8:O86)</f>
        <v>6014393.9600000009</v>
      </c>
      <c r="P87" s="609"/>
      <c r="Q87" s="613"/>
      <c r="R87" s="483"/>
    </row>
    <row r="89" spans="1:21" x14ac:dyDescent="0.35">
      <c r="C89" s="487" t="s">
        <v>479</v>
      </c>
      <c r="D89" s="565"/>
      <c r="E89" s="565"/>
      <c r="F89" s="497" t="e">
        <f>F87+F84+F66+F49+F16</f>
        <v>#REF!</v>
      </c>
      <c r="G89" s="488"/>
      <c r="H89" s="488"/>
      <c r="I89" s="594">
        <f>I87+I84+I66+I49+I16</f>
        <v>6515907406.3999996</v>
      </c>
      <c r="J89" s="497">
        <f>J87+J84+J66+J49+J16</f>
        <v>2299560095.0485668</v>
      </c>
      <c r="K89" s="497">
        <f>K16+K49+K66+K84+K87</f>
        <v>4216347311.3514333</v>
      </c>
      <c r="L89" s="497">
        <f ca="1">L87+L84+L66+L49+L16</f>
        <v>7043107</v>
      </c>
      <c r="M89" s="497">
        <f ca="1">M87+M84+M66+M49+M16</f>
        <v>1336772.4400000002</v>
      </c>
      <c r="N89" s="497">
        <f ca="1">N87+N84+N66+N49+N16</f>
        <v>170565</v>
      </c>
      <c r="O89" s="497">
        <f ca="1">O87+O84+O66+O49+O16</f>
        <v>8933844.4400000013</v>
      </c>
      <c r="P89" s="497"/>
      <c r="Q89" s="497"/>
      <c r="R89" s="498"/>
      <c r="U89" s="560"/>
    </row>
    <row r="90" spans="1:21" x14ac:dyDescent="0.35">
      <c r="I90" s="586"/>
      <c r="J90" s="485"/>
      <c r="K90" s="485"/>
      <c r="L90" s="485"/>
      <c r="M90" s="485"/>
      <c r="N90" s="485"/>
      <c r="O90" s="485"/>
      <c r="P90" s="485"/>
      <c r="Q90" s="485"/>
      <c r="R90" s="484" t="s">
        <v>500</v>
      </c>
      <c r="S90" s="486" t="s">
        <v>503</v>
      </c>
    </row>
    <row r="91" spans="1:21" ht="18" x14ac:dyDescent="0.35">
      <c r="B91" s="648" t="s">
        <v>510</v>
      </c>
      <c r="C91" s="648"/>
      <c r="D91" s="648"/>
      <c r="E91" s="648"/>
      <c r="F91" s="648"/>
      <c r="G91" s="648"/>
      <c r="H91" s="648"/>
      <c r="I91" s="648"/>
      <c r="J91" s="648"/>
      <c r="K91" s="648"/>
      <c r="L91" s="648"/>
      <c r="M91" s="648"/>
      <c r="N91" s="648"/>
      <c r="O91" s="648"/>
      <c r="P91" s="648"/>
      <c r="Q91" s="648"/>
      <c r="R91" s="484"/>
      <c r="S91" s="486"/>
    </row>
    <row r="92" spans="1:21" ht="42" x14ac:dyDescent="0.35">
      <c r="B92" s="655" t="s">
        <v>0</v>
      </c>
      <c r="C92" s="655" t="s">
        <v>1</v>
      </c>
      <c r="D92" s="655" t="s">
        <v>2</v>
      </c>
      <c r="E92" s="570" t="s">
        <v>363</v>
      </c>
      <c r="F92" s="448" t="s">
        <v>362</v>
      </c>
      <c r="G92" s="652" t="s">
        <v>360</v>
      </c>
      <c r="H92" s="652"/>
      <c r="I92" s="652" t="s">
        <v>359</v>
      </c>
      <c r="J92" s="652"/>
      <c r="K92" s="652"/>
      <c r="L92" s="449"/>
      <c r="M92" s="449"/>
      <c r="N92" s="449"/>
      <c r="O92" s="449"/>
      <c r="P92" s="447"/>
      <c r="Q92" s="450"/>
      <c r="R92" s="484"/>
      <c r="S92" s="486"/>
    </row>
    <row r="93" spans="1:21" ht="28" x14ac:dyDescent="0.35">
      <c r="B93" s="655"/>
      <c r="C93" s="655"/>
      <c r="D93" s="655"/>
      <c r="E93" s="567" t="s">
        <v>269</v>
      </c>
      <c r="F93" s="567" t="s">
        <v>155</v>
      </c>
      <c r="G93" s="567" t="s">
        <v>357</v>
      </c>
      <c r="H93" s="567" t="s">
        <v>358</v>
      </c>
      <c r="I93" s="567" t="s">
        <v>185</v>
      </c>
      <c r="J93" s="567" t="s">
        <v>186</v>
      </c>
      <c r="K93" s="567" t="s">
        <v>411</v>
      </c>
      <c r="L93" s="567" t="s">
        <v>4</v>
      </c>
      <c r="M93" s="567" t="s">
        <v>5</v>
      </c>
      <c r="N93" s="567" t="s">
        <v>6</v>
      </c>
      <c r="O93" s="567" t="s">
        <v>154</v>
      </c>
      <c r="P93" s="567" t="s">
        <v>3</v>
      </c>
      <c r="Q93" s="567" t="s">
        <v>156</v>
      </c>
      <c r="R93" s="443"/>
    </row>
    <row r="94" spans="1:21" x14ac:dyDescent="0.35">
      <c r="B94" s="662" t="s">
        <v>487</v>
      </c>
      <c r="C94" s="663"/>
      <c r="D94" s="567"/>
      <c r="E94" s="567"/>
      <c r="F94" s="567"/>
      <c r="G94" s="567"/>
      <c r="H94" s="567"/>
      <c r="I94" s="567"/>
      <c r="J94" s="567"/>
      <c r="K94" s="567"/>
      <c r="L94" s="567"/>
      <c r="M94" s="567"/>
      <c r="N94" s="567"/>
      <c r="O94" s="567"/>
      <c r="P94" s="567"/>
      <c r="Q94" s="567"/>
      <c r="R94" s="443"/>
    </row>
    <row r="95" spans="1:21" ht="42" x14ac:dyDescent="0.35">
      <c r="B95" s="454">
        <v>1</v>
      </c>
      <c r="C95" s="467" t="s">
        <v>8</v>
      </c>
      <c r="D95" s="570">
        <v>1</v>
      </c>
      <c r="E95" s="570" t="s">
        <v>264</v>
      </c>
      <c r="F95" s="455">
        <v>200000000</v>
      </c>
      <c r="G95" s="455">
        <f>Annexures!D5</f>
        <v>353344431</v>
      </c>
      <c r="H95" s="455">
        <f>Annexures!M5</f>
        <v>1</v>
      </c>
      <c r="I95" s="455">
        <v>1800000000</v>
      </c>
      <c r="J95" s="455">
        <f>I95*0.95</f>
        <v>1710000000</v>
      </c>
      <c r="K95" s="455">
        <f>I95-J95</f>
        <v>90000000</v>
      </c>
      <c r="L95" s="499">
        <v>264000</v>
      </c>
      <c r="M95" s="463">
        <f>L95*18%</f>
        <v>47520</v>
      </c>
      <c r="N95" s="463">
        <v>20000</v>
      </c>
      <c r="O95" s="463">
        <f>L95+M95+N95</f>
        <v>331520</v>
      </c>
      <c r="P95" s="447" t="s">
        <v>10</v>
      </c>
      <c r="Q95" s="563" t="s">
        <v>9</v>
      </c>
      <c r="R95" s="447" t="s">
        <v>415</v>
      </c>
      <c r="S95" s="450" t="s">
        <v>416</v>
      </c>
    </row>
    <row r="96" spans="1:21" x14ac:dyDescent="0.35">
      <c r="B96" s="566" t="s">
        <v>26</v>
      </c>
      <c r="C96" s="447"/>
      <c r="D96" s="570"/>
      <c r="E96" s="570"/>
      <c r="F96" s="455"/>
      <c r="G96" s="455"/>
      <c r="H96" s="455"/>
      <c r="I96" s="455"/>
      <c r="J96" s="455"/>
      <c r="K96" s="455"/>
      <c r="L96" s="449"/>
      <c r="M96" s="449"/>
      <c r="N96" s="449"/>
      <c r="O96" s="463"/>
      <c r="P96" s="447"/>
      <c r="Q96" s="568"/>
      <c r="R96" s="568"/>
      <c r="S96" s="460"/>
    </row>
    <row r="97" spans="2:19" ht="112" x14ac:dyDescent="0.35">
      <c r="B97" s="454">
        <v>2</v>
      </c>
      <c r="C97" s="467" t="s">
        <v>27</v>
      </c>
      <c r="D97" s="500">
        <v>1</v>
      </c>
      <c r="E97" s="661" t="s">
        <v>264</v>
      </c>
      <c r="F97" s="455">
        <v>7600000</v>
      </c>
      <c r="G97" s="455">
        <f>Annexures!D41</f>
        <v>12254547</v>
      </c>
      <c r="H97" s="455">
        <f>Annexures!M41</f>
        <v>6001448</v>
      </c>
      <c r="I97" s="455">
        <f>Annexures!O41</f>
        <v>13834394</v>
      </c>
      <c r="J97" s="455">
        <f>Annexures!P41</f>
        <v>7228470.8649999993</v>
      </c>
      <c r="K97" s="455">
        <f t="shared" ref="K97:K101" si="22">I97-J97</f>
        <v>6605923.1350000007</v>
      </c>
      <c r="L97" s="463">
        <v>38000</v>
      </c>
      <c r="M97" s="463">
        <f>L97*18%</f>
        <v>6840</v>
      </c>
      <c r="N97" s="463">
        <v>760</v>
      </c>
      <c r="O97" s="463">
        <f>L97+M97+N97</f>
        <v>45600</v>
      </c>
      <c r="P97" s="447" t="s">
        <v>19</v>
      </c>
      <c r="Q97" s="563" t="s">
        <v>14</v>
      </c>
      <c r="R97" s="447" t="s">
        <v>428</v>
      </c>
      <c r="S97" s="450" t="s">
        <v>429</v>
      </c>
    </row>
    <row r="98" spans="2:19" ht="112" x14ac:dyDescent="0.35">
      <c r="B98" s="454">
        <v>3</v>
      </c>
      <c r="C98" s="467" t="s">
        <v>28</v>
      </c>
      <c r="D98" s="500">
        <v>1</v>
      </c>
      <c r="E98" s="661"/>
      <c r="F98" s="455">
        <v>950000</v>
      </c>
      <c r="G98" s="455">
        <f>Annexures!D44</f>
        <v>2577417</v>
      </c>
      <c r="H98" s="455">
        <f>Annexures!M44</f>
        <v>1262283</v>
      </c>
      <c r="I98" s="455">
        <f>Annexures!O44</f>
        <v>2900000</v>
      </c>
      <c r="J98" s="455">
        <f>Annexures!P44</f>
        <v>1515250</v>
      </c>
      <c r="K98" s="455">
        <f t="shared" si="22"/>
        <v>1384750</v>
      </c>
      <c r="L98" s="463">
        <v>1425</v>
      </c>
      <c r="M98" s="463">
        <f>L98*18%</f>
        <v>256.5</v>
      </c>
      <c r="N98" s="463">
        <v>95</v>
      </c>
      <c r="O98" s="463">
        <f>L98+M98+N98</f>
        <v>1776.5</v>
      </c>
      <c r="P98" s="447" t="s">
        <v>19</v>
      </c>
      <c r="Q98" s="563" t="s">
        <v>9</v>
      </c>
      <c r="R98" s="450" t="s">
        <v>430</v>
      </c>
      <c r="S98" s="450" t="s">
        <v>431</v>
      </c>
    </row>
    <row r="99" spans="2:19" x14ac:dyDescent="0.35">
      <c r="B99" s="566" t="s">
        <v>29</v>
      </c>
      <c r="C99" s="447"/>
      <c r="D99" s="500"/>
      <c r="E99" s="661"/>
      <c r="F99" s="455"/>
      <c r="G99" s="455"/>
      <c r="H99" s="455"/>
      <c r="I99" s="455"/>
      <c r="J99" s="455"/>
      <c r="K99" s="455"/>
      <c r="L99" s="449"/>
      <c r="M99" s="449"/>
      <c r="N99" s="449"/>
      <c r="O99" s="463"/>
      <c r="P99" s="447"/>
      <c r="Q99" s="568"/>
      <c r="R99" s="568"/>
      <c r="S99" s="460"/>
    </row>
    <row r="100" spans="2:19" ht="28" x14ac:dyDescent="0.35">
      <c r="B100" s="454">
        <v>4</v>
      </c>
      <c r="C100" s="467" t="s">
        <v>30</v>
      </c>
      <c r="D100" s="500">
        <v>1</v>
      </c>
      <c r="E100" s="661"/>
      <c r="F100" s="455">
        <v>250000000</v>
      </c>
      <c r="G100" s="455">
        <f>Annexures!D47</f>
        <v>405113094</v>
      </c>
      <c r="H100" s="455">
        <f>Annexures!M47</f>
        <v>205394975</v>
      </c>
      <c r="I100" s="455">
        <f>Annexures!O47</f>
        <v>450000000</v>
      </c>
      <c r="J100" s="455">
        <f>Annexures!P47</f>
        <v>213750000</v>
      </c>
      <c r="K100" s="455">
        <f t="shared" si="22"/>
        <v>236250000</v>
      </c>
      <c r="L100" s="463">
        <v>625000</v>
      </c>
      <c r="M100" s="463">
        <f>L100*18%</f>
        <v>112500</v>
      </c>
      <c r="N100" s="463">
        <v>25000</v>
      </c>
      <c r="O100" s="463">
        <f>L100+M100+N100</f>
        <v>762500</v>
      </c>
      <c r="P100" s="447" t="s">
        <v>19</v>
      </c>
      <c r="Q100" s="563" t="s">
        <v>31</v>
      </c>
      <c r="R100" s="450" t="s">
        <v>440</v>
      </c>
      <c r="S100" s="450" t="s">
        <v>440</v>
      </c>
    </row>
    <row r="101" spans="2:19" ht="28" x14ac:dyDescent="0.35">
      <c r="B101" s="454">
        <v>5</v>
      </c>
      <c r="C101" s="467" t="s">
        <v>32</v>
      </c>
      <c r="D101" s="500">
        <v>1</v>
      </c>
      <c r="E101" s="661"/>
      <c r="F101" s="455">
        <v>250000000</v>
      </c>
      <c r="G101" s="455">
        <f>Annexures!D50</f>
        <v>405113094.41000003</v>
      </c>
      <c r="H101" s="455">
        <f>Annexures!M50</f>
        <v>210773714</v>
      </c>
      <c r="I101" s="455">
        <f>Annexures!O50</f>
        <v>450000000</v>
      </c>
      <c r="J101" s="455">
        <f>Annexures!P50</f>
        <v>213750000</v>
      </c>
      <c r="K101" s="455">
        <f t="shared" si="22"/>
        <v>236250000</v>
      </c>
      <c r="L101" s="463">
        <f>'[2]Asset wise break up'!G127</f>
        <v>625000</v>
      </c>
      <c r="M101" s="463">
        <f>L101*18%</f>
        <v>112500</v>
      </c>
      <c r="N101" s="463">
        <v>25000</v>
      </c>
      <c r="O101" s="463">
        <f>L101+M101+N101</f>
        <v>762500</v>
      </c>
      <c r="P101" s="447" t="s">
        <v>19</v>
      </c>
      <c r="Q101" s="563" t="s">
        <v>31</v>
      </c>
      <c r="R101" s="450" t="s">
        <v>440</v>
      </c>
      <c r="S101" s="450" t="s">
        <v>440</v>
      </c>
    </row>
    <row r="102" spans="2:19" x14ac:dyDescent="0.35">
      <c r="B102" s="565"/>
      <c r="C102" s="487" t="s">
        <v>174</v>
      </c>
      <c r="D102" s="565"/>
      <c r="E102" s="565"/>
      <c r="F102" s="488"/>
      <c r="G102" s="488"/>
      <c r="H102" s="488"/>
      <c r="I102" s="489">
        <f>SUM(I95:I101)</f>
        <v>2716734394</v>
      </c>
      <c r="J102" s="489">
        <f>SUM(J95:J101)</f>
        <v>2146243720.865</v>
      </c>
      <c r="K102" s="489">
        <f>SUM(K95:K101)</f>
        <v>570490673.13499999</v>
      </c>
      <c r="L102" s="488"/>
      <c r="M102" s="488"/>
      <c r="N102" s="488"/>
      <c r="O102" s="488"/>
      <c r="P102" s="470"/>
      <c r="Q102" s="487"/>
    </row>
    <row r="103" spans="2:19" x14ac:dyDescent="0.35">
      <c r="B103" s="513"/>
      <c r="C103" s="514"/>
      <c r="D103" s="513"/>
      <c r="E103" s="513"/>
      <c r="F103" s="515"/>
      <c r="G103" s="515"/>
      <c r="H103" s="515"/>
      <c r="I103" s="516"/>
      <c r="J103" s="515"/>
      <c r="K103" s="516"/>
      <c r="L103" s="515"/>
      <c r="M103" s="515"/>
      <c r="N103" s="515"/>
      <c r="O103" s="515"/>
      <c r="P103" s="505"/>
      <c r="Q103" s="514"/>
    </row>
    <row r="104" spans="2:19" x14ac:dyDescent="0.35">
      <c r="I104" s="485"/>
      <c r="J104" s="485"/>
      <c r="K104" s="485"/>
      <c r="L104" s="485"/>
      <c r="M104" s="485"/>
      <c r="N104" s="485"/>
      <c r="O104" s="485"/>
      <c r="P104" s="485"/>
      <c r="Q104" s="485"/>
      <c r="R104" s="484"/>
      <c r="S104" s="486"/>
    </row>
    <row r="105" spans="2:19" ht="18" hidden="1" x14ac:dyDescent="0.35">
      <c r="B105" s="659" t="s">
        <v>513</v>
      </c>
      <c r="C105" s="659"/>
      <c r="D105" s="659"/>
      <c r="E105" s="659"/>
      <c r="F105" s="659"/>
      <c r="G105" s="659"/>
      <c r="H105" s="659"/>
      <c r="I105" s="659"/>
      <c r="J105" s="659"/>
      <c r="K105" s="659"/>
      <c r="L105" s="659"/>
      <c r="M105" s="659"/>
      <c r="N105" s="659"/>
      <c r="O105" s="659"/>
      <c r="P105" s="659"/>
      <c r="Q105" s="659"/>
      <c r="R105" s="659"/>
      <c r="S105" s="659"/>
    </row>
    <row r="106" spans="2:19" hidden="1" x14ac:dyDescent="0.35">
      <c r="I106" s="485"/>
      <c r="J106" s="485"/>
      <c r="K106" s="485"/>
      <c r="L106" s="485"/>
      <c r="M106" s="485"/>
      <c r="N106" s="485"/>
      <c r="O106" s="485"/>
      <c r="P106" s="485"/>
      <c r="Q106" s="485"/>
      <c r="R106" s="484"/>
      <c r="S106" s="486"/>
    </row>
    <row r="107" spans="2:19" s="452" customFormat="1" hidden="1" x14ac:dyDescent="0.35">
      <c r="B107" s="565" t="s">
        <v>514</v>
      </c>
      <c r="C107" s="567" t="s">
        <v>515</v>
      </c>
      <c r="D107" s="565"/>
      <c r="E107" s="565"/>
      <c r="F107" s="565"/>
      <c r="G107" s="565"/>
      <c r="H107" s="565"/>
      <c r="I107" s="554" t="s">
        <v>580</v>
      </c>
      <c r="K107" s="555"/>
      <c r="L107" s="555"/>
      <c r="M107" s="555"/>
      <c r="N107" s="555"/>
      <c r="O107" s="555"/>
      <c r="P107" s="555"/>
      <c r="Q107" s="555"/>
      <c r="R107" s="556"/>
      <c r="S107" s="506"/>
    </row>
    <row r="108" spans="2:19" hidden="1" x14ac:dyDescent="0.35">
      <c r="B108" s="449">
        <v>1</v>
      </c>
      <c r="C108" s="447" t="s">
        <v>496</v>
      </c>
      <c r="D108" s="454"/>
      <c r="E108" s="454"/>
      <c r="F108" s="449"/>
      <c r="G108" s="449"/>
      <c r="H108" s="449"/>
      <c r="I108" s="504">
        <v>0</v>
      </c>
      <c r="K108" s="490"/>
      <c r="L108" s="507"/>
      <c r="M108" s="507"/>
      <c r="N108" s="507"/>
      <c r="O108" s="507"/>
      <c r="P108" s="507"/>
      <c r="Q108" s="507"/>
      <c r="R108" s="490"/>
      <c r="S108" s="490"/>
    </row>
    <row r="109" spans="2:19" hidden="1" x14ac:dyDescent="0.35">
      <c r="B109" s="447">
        <v>2</v>
      </c>
      <c r="C109" s="447" t="s">
        <v>488</v>
      </c>
      <c r="D109" s="447"/>
      <c r="E109" s="447"/>
      <c r="F109" s="447"/>
      <c r="G109" s="447"/>
      <c r="H109" s="447"/>
      <c r="I109" s="502">
        <v>140000000</v>
      </c>
      <c r="L109" s="490"/>
      <c r="M109" s="490"/>
      <c r="N109" s="490"/>
      <c r="O109" s="490"/>
      <c r="P109" s="490"/>
      <c r="Q109" s="490"/>
      <c r="R109" s="508"/>
      <c r="S109" s="509"/>
    </row>
    <row r="110" spans="2:19" hidden="1" x14ac:dyDescent="0.35">
      <c r="B110" s="447"/>
      <c r="C110" s="447" t="s">
        <v>489</v>
      </c>
      <c r="D110" s="447"/>
      <c r="E110" s="447"/>
      <c r="F110" s="447"/>
      <c r="G110" s="447"/>
      <c r="H110" s="447"/>
      <c r="I110" s="479">
        <v>10000000</v>
      </c>
      <c r="K110" s="490"/>
      <c r="L110" s="490"/>
      <c r="M110" s="490"/>
      <c r="N110" s="490"/>
      <c r="O110" s="490"/>
      <c r="P110" s="490"/>
      <c r="Q110" s="490"/>
      <c r="R110" s="509"/>
      <c r="S110" s="509"/>
    </row>
    <row r="111" spans="2:19" hidden="1" x14ac:dyDescent="0.35">
      <c r="B111" s="447"/>
      <c r="C111" s="447" t="s">
        <v>490</v>
      </c>
      <c r="D111" s="447"/>
      <c r="E111" s="447"/>
      <c r="F111" s="447"/>
      <c r="G111" s="447"/>
      <c r="H111" s="447"/>
      <c r="I111" s="502">
        <v>0</v>
      </c>
      <c r="K111" s="490"/>
      <c r="L111" s="490"/>
      <c r="M111" s="490"/>
      <c r="N111" s="490"/>
      <c r="O111" s="490"/>
      <c r="P111" s="490"/>
      <c r="Q111" s="490"/>
      <c r="R111" s="510"/>
      <c r="S111" s="510"/>
    </row>
    <row r="112" spans="2:19" hidden="1" x14ac:dyDescent="0.35">
      <c r="B112" s="447">
        <v>3</v>
      </c>
      <c r="C112" s="447" t="s">
        <v>491</v>
      </c>
      <c r="D112" s="447"/>
      <c r="E112" s="447"/>
      <c r="F112" s="447"/>
      <c r="G112" s="447"/>
      <c r="H112" s="447"/>
      <c r="I112" s="479">
        <v>330000000</v>
      </c>
      <c r="K112" s="490"/>
      <c r="L112" s="490"/>
      <c r="M112" s="490"/>
      <c r="N112" s="490"/>
      <c r="O112" s="490"/>
      <c r="P112" s="490"/>
      <c r="Q112" s="490"/>
      <c r="R112" s="509"/>
      <c r="S112" s="509"/>
    </row>
    <row r="113" spans="2:19" hidden="1" x14ac:dyDescent="0.35">
      <c r="B113" s="447">
        <v>4</v>
      </c>
      <c r="C113" s="447" t="s">
        <v>523</v>
      </c>
      <c r="D113" s="447"/>
      <c r="E113" s="447"/>
      <c r="F113" s="447"/>
      <c r="G113" s="447"/>
      <c r="H113" s="447"/>
      <c r="I113" s="518">
        <v>570000000</v>
      </c>
      <c r="L113" s="490"/>
      <c r="M113" s="490"/>
      <c r="N113" s="490"/>
      <c r="O113" s="490"/>
      <c r="P113" s="490"/>
      <c r="Q113" s="490"/>
      <c r="R113" s="509"/>
      <c r="S113" s="509"/>
    </row>
    <row r="114" spans="2:19" s="472" customFormat="1" hidden="1" x14ac:dyDescent="0.35">
      <c r="B114" s="470"/>
      <c r="C114" s="470" t="s">
        <v>516</v>
      </c>
      <c r="D114" s="470"/>
      <c r="E114" s="470"/>
      <c r="F114" s="470"/>
      <c r="G114" s="470"/>
      <c r="H114" s="470"/>
      <c r="I114" s="503">
        <f>SUM(I108:I113)</f>
        <v>1050000000</v>
      </c>
      <c r="K114" s="505"/>
      <c r="L114" s="505"/>
      <c r="M114" s="505"/>
      <c r="N114" s="505"/>
      <c r="O114" s="505"/>
      <c r="P114" s="505"/>
      <c r="Q114" s="505"/>
      <c r="R114" s="511"/>
      <c r="S114" s="512"/>
    </row>
    <row r="115" spans="2:19" hidden="1" x14ac:dyDescent="0.35"/>
    <row r="116" spans="2:19" hidden="1" x14ac:dyDescent="0.35"/>
    <row r="117" spans="2:19" x14ac:dyDescent="0.35">
      <c r="I117" s="485"/>
      <c r="K117" s="485"/>
    </row>
    <row r="135" spans="2:19" x14ac:dyDescent="0.35">
      <c r="B135" s="491"/>
      <c r="C135" s="490"/>
      <c r="D135" s="491"/>
      <c r="E135" s="491"/>
      <c r="F135" s="492"/>
      <c r="G135" s="492"/>
      <c r="H135" s="492"/>
      <c r="I135" s="492"/>
      <c r="J135" s="492"/>
      <c r="K135" s="492"/>
      <c r="L135" s="501"/>
      <c r="M135" s="501"/>
      <c r="N135" s="501"/>
      <c r="O135" s="501"/>
      <c r="P135" s="490"/>
      <c r="Q135" s="481"/>
      <c r="R135" s="587"/>
      <c r="S135" s="477"/>
    </row>
    <row r="136" spans="2:19" x14ac:dyDescent="0.35">
      <c r="B136" s="491"/>
      <c r="C136" s="483"/>
      <c r="D136" s="491"/>
      <c r="E136" s="491"/>
      <c r="F136" s="493"/>
      <c r="G136" s="493"/>
      <c r="H136" s="493"/>
      <c r="I136" s="493"/>
      <c r="J136" s="493"/>
      <c r="K136" s="493"/>
      <c r="L136" s="493"/>
      <c r="M136" s="493"/>
      <c r="N136" s="493"/>
      <c r="O136" s="493"/>
      <c r="P136" s="490"/>
      <c r="Q136" s="483"/>
      <c r="R136" s="483"/>
      <c r="S136" s="490"/>
    </row>
  </sheetData>
  <mergeCells count="33">
    <mergeCell ref="B105:S105"/>
    <mergeCell ref="S28:S31"/>
    <mergeCell ref="N28:N31"/>
    <mergeCell ref="M28:M31"/>
    <mergeCell ref="B94:C94"/>
    <mergeCell ref="E97:E101"/>
    <mergeCell ref="B92:B93"/>
    <mergeCell ref="C92:C93"/>
    <mergeCell ref="D92:D93"/>
    <mergeCell ref="G92:H92"/>
    <mergeCell ref="I92:K92"/>
    <mergeCell ref="I28:I31"/>
    <mergeCell ref="C17:Q17"/>
    <mergeCell ref="G28:G31"/>
    <mergeCell ref="J28:J31"/>
    <mergeCell ref="B6:B7"/>
    <mergeCell ref="C6:C7"/>
    <mergeCell ref="B1:K2"/>
    <mergeCell ref="A6:A7"/>
    <mergeCell ref="B91:Q91"/>
    <mergeCell ref="Q28:Q31"/>
    <mergeCell ref="H28:H31"/>
    <mergeCell ref="L28:L31"/>
    <mergeCell ref="I6:K6"/>
    <mergeCell ref="F28:F31"/>
    <mergeCell ref="K28:K31"/>
    <mergeCell ref="C50:Q50"/>
    <mergeCell ref="C8:Q8"/>
    <mergeCell ref="G6:H6"/>
    <mergeCell ref="D6:D7"/>
    <mergeCell ref="B4:Q4"/>
    <mergeCell ref="O28:O31"/>
    <mergeCell ref="P28:P31"/>
  </mergeCells>
  <pageMargins left="0.15748031496062992" right="0.15748031496062992" top="0.74803149606299213" bottom="0.74803149606299213" header="0.31496062992125984" footer="0.31496062992125984"/>
  <pageSetup paperSize="9" scale="75" orientation="portrait"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7"/>
  <sheetViews>
    <sheetView topLeftCell="A88" workbookViewId="0">
      <selection activeCell="D130" sqref="D130"/>
    </sheetView>
  </sheetViews>
  <sheetFormatPr defaultColWidth="9.1796875" defaultRowHeight="14.5" x14ac:dyDescent="0.35"/>
  <cols>
    <col min="1" max="1" width="5.7265625" style="3" customWidth="1"/>
    <col min="2" max="2" width="5.1796875" style="1" customWidth="1"/>
    <col min="3" max="3" width="52.26953125" style="2" customWidth="1"/>
    <col min="4" max="4" width="10.54296875" style="1" customWidth="1"/>
    <col min="5" max="5" width="9.81640625" style="1" hidden="1" customWidth="1"/>
    <col min="6" max="6" width="20.1796875" style="37" customWidth="1"/>
    <col min="7" max="8" width="18.26953125" style="37" hidden="1" customWidth="1"/>
    <col min="9" max="9" width="25" style="37" customWidth="1"/>
    <col min="10" max="10" width="18.26953125" style="37" hidden="1" customWidth="1"/>
    <col min="11" max="11" width="21.453125" style="37" customWidth="1"/>
    <col min="12" max="12" width="15.1796875" style="37" hidden="1" customWidth="1"/>
    <col min="13" max="13" width="12.54296875" style="37" hidden="1" customWidth="1"/>
    <col min="14" max="14" width="12.81640625" style="37" hidden="1" customWidth="1"/>
    <col min="15" max="15" width="15.26953125" style="37" hidden="1" customWidth="1"/>
    <col min="16" max="16" width="23.7265625" style="3" hidden="1" customWidth="1"/>
    <col min="17" max="17" width="52" style="2" hidden="1" customWidth="1"/>
    <col min="18" max="18" width="21.7265625" style="2" customWidth="1"/>
    <col min="19" max="19" width="32.1796875" style="2" customWidth="1"/>
    <col min="20" max="20" width="36.81640625" style="3" customWidth="1"/>
    <col min="21" max="21" width="18.26953125" style="3" customWidth="1"/>
    <col min="22" max="22" width="15.7265625" style="3" customWidth="1"/>
    <col min="23" max="16384" width="9.1796875" style="3"/>
  </cols>
  <sheetData>
    <row r="1" spans="1:21" ht="17" x14ac:dyDescent="0.35">
      <c r="A1" s="3" t="s">
        <v>153</v>
      </c>
      <c r="F1" s="36"/>
      <c r="G1" s="36"/>
      <c r="H1" s="36"/>
      <c r="I1" s="36"/>
      <c r="J1" s="36"/>
      <c r="K1" s="36"/>
      <c r="R1" s="345" t="s">
        <v>477</v>
      </c>
    </row>
    <row r="2" spans="1:21" ht="17" x14ac:dyDescent="0.35">
      <c r="B2" s="640" t="s">
        <v>157</v>
      </c>
      <c r="C2" s="640"/>
      <c r="D2" s="640"/>
      <c r="E2" s="640"/>
      <c r="F2" s="640"/>
      <c r="G2" s="640"/>
      <c r="H2" s="640"/>
      <c r="I2" s="640"/>
      <c r="J2" s="640"/>
      <c r="K2" s="640"/>
      <c r="L2" s="640"/>
      <c r="M2" s="640"/>
      <c r="N2" s="640"/>
      <c r="O2" s="640"/>
      <c r="P2" s="640"/>
      <c r="Q2" s="640"/>
      <c r="R2" s="346" t="s">
        <v>476</v>
      </c>
      <c r="S2" s="362"/>
    </row>
    <row r="3" spans="1:21" ht="43.5" x14ac:dyDescent="0.35">
      <c r="B3" s="4"/>
      <c r="C3" s="4"/>
      <c r="E3" s="79" t="s">
        <v>363</v>
      </c>
      <c r="F3" s="328" t="s">
        <v>362</v>
      </c>
      <c r="G3" s="641" t="s">
        <v>360</v>
      </c>
      <c r="H3" s="641"/>
      <c r="I3" s="641" t="s">
        <v>359</v>
      </c>
      <c r="J3" s="641"/>
      <c r="K3" s="641"/>
    </row>
    <row r="4" spans="1:21" s="5" customFormat="1" ht="29" x14ac:dyDescent="0.35">
      <c r="B4" s="371" t="s">
        <v>0</v>
      </c>
      <c r="C4" s="372" t="s">
        <v>1</v>
      </c>
      <c r="D4" s="372" t="s">
        <v>2</v>
      </c>
      <c r="E4" s="372" t="s">
        <v>269</v>
      </c>
      <c r="F4" s="371" t="s">
        <v>155</v>
      </c>
      <c r="G4" s="74" t="s">
        <v>357</v>
      </c>
      <c r="H4" s="74" t="s">
        <v>358</v>
      </c>
      <c r="I4" s="371" t="s">
        <v>185</v>
      </c>
      <c r="J4" s="371" t="s">
        <v>186</v>
      </c>
      <c r="K4" s="371" t="s">
        <v>411</v>
      </c>
      <c r="L4" s="372" t="s">
        <v>4</v>
      </c>
      <c r="M4" s="372" t="s">
        <v>5</v>
      </c>
      <c r="N4" s="372" t="s">
        <v>6</v>
      </c>
      <c r="O4" s="372" t="s">
        <v>154</v>
      </c>
      <c r="P4" s="371" t="s">
        <v>3</v>
      </c>
      <c r="Q4" s="371" t="s">
        <v>156</v>
      </c>
      <c r="R4" s="371" t="s">
        <v>434</v>
      </c>
      <c r="S4" s="371" t="s">
        <v>438</v>
      </c>
      <c r="T4" s="5" t="s">
        <v>414</v>
      </c>
    </row>
    <row r="5" spans="1:21" s="5" customFormat="1" ht="19.5" x14ac:dyDescent="0.35">
      <c r="B5" s="369" t="s">
        <v>7</v>
      </c>
      <c r="C5" s="75"/>
      <c r="D5" s="367"/>
      <c r="E5" s="367"/>
      <c r="F5" s="39"/>
      <c r="G5" s="39"/>
      <c r="H5" s="39"/>
      <c r="I5" s="39"/>
      <c r="J5" s="39"/>
      <c r="K5" s="39"/>
      <c r="L5" s="39"/>
      <c r="M5" s="39"/>
      <c r="N5" s="39"/>
      <c r="O5" s="39"/>
      <c r="P5" s="367"/>
      <c r="Q5" s="371"/>
      <c r="R5" s="261"/>
      <c r="S5" s="261"/>
    </row>
    <row r="6" spans="1:21" x14ac:dyDescent="0.35">
      <c r="A6" s="3">
        <v>1</v>
      </c>
      <c r="B6" s="3"/>
      <c r="C6" s="3"/>
      <c r="D6" s="3"/>
      <c r="E6" s="3"/>
      <c r="F6" s="3"/>
      <c r="G6" s="3"/>
      <c r="H6" s="3"/>
      <c r="I6" s="3"/>
      <c r="J6" s="3"/>
      <c r="K6" s="3"/>
      <c r="L6" s="3"/>
      <c r="M6" s="3"/>
      <c r="N6" s="3"/>
      <c r="O6" s="3"/>
      <c r="Q6" s="3"/>
      <c r="R6" s="3"/>
      <c r="S6" s="3"/>
    </row>
    <row r="7" spans="1:21" ht="58" x14ac:dyDescent="0.35">
      <c r="A7" s="3">
        <v>2</v>
      </c>
      <c r="B7" s="373">
        <v>2</v>
      </c>
      <c r="C7" s="82" t="s">
        <v>11</v>
      </c>
      <c r="D7" s="363">
        <v>1</v>
      </c>
      <c r="E7" s="363" t="s">
        <v>265</v>
      </c>
      <c r="F7" s="80">
        <v>30000000</v>
      </c>
      <c r="G7" s="80">
        <f>Annexures!D10</f>
        <v>91839658.120000005</v>
      </c>
      <c r="H7" s="80">
        <f>Annexures!M10</f>
        <v>2</v>
      </c>
      <c r="I7" s="80">
        <f>Annexures!O10</f>
        <v>72000000</v>
      </c>
      <c r="J7" s="80">
        <f>I7*0.95</f>
        <v>68400000</v>
      </c>
      <c r="K7" s="236">
        <f>I7-J7</f>
        <v>3600000</v>
      </c>
      <c r="L7" s="81">
        <v>39000</v>
      </c>
      <c r="M7" s="81">
        <f t="shared" ref="M7:M13" si="0">L7*18%</f>
        <v>7020</v>
      </c>
      <c r="N7" s="81">
        <v>3000</v>
      </c>
      <c r="O7" s="81">
        <f t="shared" ref="O7:O13" si="1">L7+M7+N7</f>
        <v>49020</v>
      </c>
      <c r="P7" s="55" t="s">
        <v>10</v>
      </c>
      <c r="Q7" s="368" t="s">
        <v>12</v>
      </c>
      <c r="R7" s="236">
        <f>'Marine Dept'!R7</f>
        <v>3600000</v>
      </c>
      <c r="S7" s="55" t="s">
        <v>417</v>
      </c>
      <c r="T7" s="283" t="s">
        <v>418</v>
      </c>
    </row>
    <row r="8" spans="1:21" ht="130.5" x14ac:dyDescent="0.35">
      <c r="A8" s="3">
        <v>3</v>
      </c>
      <c r="B8" s="373">
        <v>3</v>
      </c>
      <c r="C8" s="82" t="s">
        <v>13</v>
      </c>
      <c r="D8" s="363">
        <v>26</v>
      </c>
      <c r="E8" s="363" t="s">
        <v>265</v>
      </c>
      <c r="F8" s="80">
        <v>30000000</v>
      </c>
      <c r="G8" s="80">
        <f>Annexures!D22</f>
        <v>43467197.629999995</v>
      </c>
      <c r="H8" s="80">
        <f>Annexures!M22</f>
        <v>14748588</v>
      </c>
      <c r="I8" s="80">
        <f>Annexures!O22</f>
        <v>85159677</v>
      </c>
      <c r="J8" s="80">
        <f>Annexures!P22</f>
        <v>51418431.132499985</v>
      </c>
      <c r="K8" s="340">
        <f>Annexures!Q22</f>
        <v>33741245.867500007</v>
      </c>
      <c r="L8" s="337">
        <v>58650</v>
      </c>
      <c r="M8" s="337">
        <f t="shared" si="0"/>
        <v>10557</v>
      </c>
      <c r="N8" s="337">
        <v>3000</v>
      </c>
      <c r="O8" s="337">
        <f t="shared" si="1"/>
        <v>72207</v>
      </c>
      <c r="P8" s="338" t="s">
        <v>10</v>
      </c>
      <c r="Q8" s="339" t="s">
        <v>14</v>
      </c>
      <c r="R8" s="340">
        <f>'Marine Dept'!R8</f>
        <v>16000000</v>
      </c>
      <c r="S8" s="23" t="s">
        <v>439</v>
      </c>
      <c r="T8" s="23" t="s">
        <v>419</v>
      </c>
    </row>
    <row r="9" spans="1:21" ht="29" x14ac:dyDescent="0.35">
      <c r="A9" s="3">
        <v>4</v>
      </c>
      <c r="B9" s="373">
        <v>4</v>
      </c>
      <c r="C9" s="82" t="s">
        <v>15</v>
      </c>
      <c r="D9" s="363">
        <v>1</v>
      </c>
      <c r="E9" s="363" t="s">
        <v>266</v>
      </c>
      <c r="F9" s="80">
        <v>1425000</v>
      </c>
      <c r="G9" s="80">
        <f>Annexures!D25</f>
        <v>2827981.4</v>
      </c>
      <c r="H9" s="80">
        <f>Annexures!M25</f>
        <v>1572048.4</v>
      </c>
      <c r="I9" s="236">
        <f>Annexures!O25</f>
        <v>5000000</v>
      </c>
      <c r="J9" s="80">
        <f>Annexures!P25</f>
        <v>4750000</v>
      </c>
      <c r="K9" s="80">
        <f>Annexures!Q25</f>
        <v>250000</v>
      </c>
      <c r="L9" s="81">
        <v>6163</v>
      </c>
      <c r="M9" s="81">
        <f t="shared" si="0"/>
        <v>1109.3399999999999</v>
      </c>
      <c r="N9" s="81">
        <v>0</v>
      </c>
      <c r="O9" s="81">
        <f t="shared" si="1"/>
        <v>7272.34</v>
      </c>
      <c r="P9" s="55" t="s">
        <v>10</v>
      </c>
      <c r="Q9" s="368" t="s">
        <v>16</v>
      </c>
      <c r="R9" s="236">
        <f>'Marine Dept'!R9</f>
        <v>5000000</v>
      </c>
      <c r="S9" s="55" t="s">
        <v>420</v>
      </c>
      <c r="T9" s="23" t="s">
        <v>421</v>
      </c>
    </row>
    <row r="10" spans="1:21" ht="31" x14ac:dyDescent="0.35">
      <c r="A10" s="3">
        <v>5</v>
      </c>
      <c r="B10" s="373">
        <v>5</v>
      </c>
      <c r="C10" s="82" t="s">
        <v>189</v>
      </c>
      <c r="D10" s="363">
        <v>1</v>
      </c>
      <c r="E10" s="363"/>
      <c r="F10" s="80">
        <v>2375000</v>
      </c>
      <c r="G10" s="80"/>
      <c r="H10" s="80"/>
      <c r="I10" s="80"/>
      <c r="J10" s="80"/>
      <c r="K10" s="80"/>
      <c r="L10" s="81">
        <v>1098</v>
      </c>
      <c r="M10" s="81">
        <f t="shared" si="0"/>
        <v>197.64</v>
      </c>
      <c r="N10" s="81">
        <v>0</v>
      </c>
      <c r="O10" s="81">
        <f t="shared" si="1"/>
        <v>1295.6399999999999</v>
      </c>
      <c r="P10" s="55" t="s">
        <v>19</v>
      </c>
      <c r="Q10" s="368" t="s">
        <v>18</v>
      </c>
      <c r="R10" s="236">
        <v>2500000</v>
      </c>
      <c r="S10" s="303" t="s">
        <v>466</v>
      </c>
      <c r="T10" s="303"/>
      <c r="U10" s="3" t="s">
        <v>469</v>
      </c>
    </row>
    <row r="11" spans="1:21" ht="15.5" x14ac:dyDescent="0.35">
      <c r="A11" s="3">
        <v>6</v>
      </c>
      <c r="B11" s="373">
        <v>6</v>
      </c>
      <c r="C11" s="82" t="s">
        <v>20</v>
      </c>
      <c r="D11" s="363">
        <v>1</v>
      </c>
      <c r="E11" s="363" t="s">
        <v>265</v>
      </c>
      <c r="F11" s="80">
        <v>2500000</v>
      </c>
      <c r="G11" s="80">
        <f>Annexures!D28</f>
        <v>4202075</v>
      </c>
      <c r="H11" s="80">
        <f>Annexures!M28</f>
        <v>1</v>
      </c>
      <c r="I11" s="80">
        <f>Annexures!O28</f>
        <v>6394462</v>
      </c>
      <c r="J11" s="80">
        <f>Annexures!P28</f>
        <v>2429895.5599999996</v>
      </c>
      <c r="K11" s="236">
        <f>Annexures!Q28</f>
        <v>3964566.4400000004</v>
      </c>
      <c r="L11" s="81">
        <v>11969</v>
      </c>
      <c r="M11" s="81">
        <f t="shared" si="0"/>
        <v>2154.42</v>
      </c>
      <c r="N11" s="81">
        <v>0</v>
      </c>
      <c r="O11" s="81">
        <f t="shared" si="1"/>
        <v>14123.42</v>
      </c>
      <c r="P11" s="55" t="s">
        <v>10</v>
      </c>
      <c r="Q11" s="368" t="s">
        <v>21</v>
      </c>
      <c r="R11" s="236">
        <f>'Marine Dept'!R11</f>
        <v>6394462</v>
      </c>
      <c r="S11" s="55" t="s">
        <v>423</v>
      </c>
      <c r="T11" s="55" t="s">
        <v>424</v>
      </c>
    </row>
    <row r="12" spans="1:21" ht="58" x14ac:dyDescent="0.35">
      <c r="A12" s="3">
        <v>7</v>
      </c>
      <c r="B12" s="373">
        <v>7</v>
      </c>
      <c r="C12" s="82" t="s">
        <v>22</v>
      </c>
      <c r="D12" s="363"/>
      <c r="E12" s="363" t="s">
        <v>267</v>
      </c>
      <c r="F12" s="80">
        <v>23750000</v>
      </c>
      <c r="G12" s="80">
        <f>Annexures!D31</f>
        <v>35340810.340000004</v>
      </c>
      <c r="H12" s="80">
        <f>Annexures!M31</f>
        <v>17629525.16</v>
      </c>
      <c r="I12" s="80">
        <f>Annexures!O31</f>
        <v>41231000</v>
      </c>
      <c r="J12" s="80">
        <f>Annexures!P31</f>
        <v>19584725</v>
      </c>
      <c r="K12" s="340">
        <f>Annexures!Q31</f>
        <v>21646275</v>
      </c>
      <c r="L12" s="337">
        <v>118750</v>
      </c>
      <c r="M12" s="337">
        <f t="shared" si="0"/>
        <v>21375</v>
      </c>
      <c r="N12" s="337">
        <v>0</v>
      </c>
      <c r="O12" s="337">
        <f t="shared" si="1"/>
        <v>140125</v>
      </c>
      <c r="P12" s="338" t="s">
        <v>19</v>
      </c>
      <c r="Q12" s="339" t="s">
        <v>23</v>
      </c>
      <c r="R12" s="340">
        <f>'Marine Dept'!R12</f>
        <v>17500000</v>
      </c>
      <c r="S12" s="55" t="s">
        <v>425</v>
      </c>
      <c r="T12" s="23" t="s">
        <v>426</v>
      </c>
    </row>
    <row r="13" spans="1:21" ht="31" x14ac:dyDescent="0.35">
      <c r="A13" s="3">
        <v>8</v>
      </c>
      <c r="B13" s="373">
        <v>8</v>
      </c>
      <c r="C13" s="129" t="s">
        <v>24</v>
      </c>
      <c r="D13" s="130"/>
      <c r="E13" s="363" t="s">
        <v>268</v>
      </c>
      <c r="F13" s="131">
        <v>43400000</v>
      </c>
      <c r="G13" s="131">
        <f>Annexures!D34</f>
        <v>57945859.259999998</v>
      </c>
      <c r="H13" s="131">
        <f>Annexures!M34</f>
        <v>2362500</v>
      </c>
      <c r="I13" s="131">
        <f>Annexures!O36</f>
        <v>68000000</v>
      </c>
      <c r="J13" s="131">
        <f>Annexures!P36</f>
        <v>59945000</v>
      </c>
      <c r="K13" s="131">
        <f>Annexures!Q36</f>
        <v>8055000</v>
      </c>
      <c r="L13" s="81">
        <v>20073</v>
      </c>
      <c r="M13" s="81">
        <f t="shared" si="0"/>
        <v>3613.14</v>
      </c>
      <c r="N13" s="81"/>
      <c r="O13" s="81">
        <f t="shared" si="1"/>
        <v>23686.14</v>
      </c>
      <c r="P13" s="55" t="s">
        <v>19</v>
      </c>
      <c r="Q13" s="368" t="s">
        <v>25</v>
      </c>
      <c r="R13" s="236">
        <f>'Marine Dept'!R13</f>
        <v>43400000</v>
      </c>
      <c r="S13" s="23" t="s">
        <v>427</v>
      </c>
      <c r="T13" s="23" t="s">
        <v>427</v>
      </c>
    </row>
    <row r="14" spans="1:21" x14ac:dyDescent="0.35">
      <c r="B14" s="3"/>
      <c r="C14" s="3"/>
      <c r="D14" s="3"/>
      <c r="E14" s="3"/>
      <c r="F14" s="3"/>
      <c r="G14" s="3"/>
      <c r="H14" s="3"/>
      <c r="I14" s="3"/>
      <c r="J14" s="3"/>
      <c r="K14" s="3"/>
      <c r="L14" s="3"/>
      <c r="M14" s="3"/>
      <c r="N14" s="3"/>
      <c r="O14" s="3"/>
      <c r="Q14" s="3"/>
      <c r="R14" s="3"/>
      <c r="S14" s="3"/>
    </row>
    <row r="15" spans="1:21" ht="43.5" x14ac:dyDescent="0.35">
      <c r="A15" s="3">
        <v>13</v>
      </c>
      <c r="B15" s="373">
        <v>13</v>
      </c>
      <c r="C15" s="55" t="s">
        <v>102</v>
      </c>
      <c r="E15" s="373"/>
      <c r="F15" s="80">
        <v>170000000</v>
      </c>
      <c r="G15" s="80">
        <v>139456732</v>
      </c>
      <c r="H15" s="53">
        <v>102643976</v>
      </c>
      <c r="I15" s="342">
        <v>180000000</v>
      </c>
      <c r="J15" s="342">
        <v>51300000</v>
      </c>
      <c r="K15" s="342">
        <v>128700000</v>
      </c>
      <c r="L15" s="342"/>
      <c r="M15" s="342"/>
      <c r="N15" s="342"/>
      <c r="O15" s="342"/>
      <c r="P15" s="338"/>
      <c r="Q15" s="343"/>
      <c r="R15" s="340">
        <v>180000000</v>
      </c>
      <c r="S15" s="338" t="s">
        <v>432</v>
      </c>
      <c r="T15" s="341" t="s">
        <v>433</v>
      </c>
    </row>
    <row r="16" spans="1:21" ht="15.5" x14ac:dyDescent="0.35">
      <c r="B16" s="373"/>
      <c r="C16" s="372" t="s">
        <v>473</v>
      </c>
      <c r="D16" s="373"/>
      <c r="E16" s="373"/>
      <c r="F16" s="58">
        <f t="shared" ref="F16:K16" si="2">SUM(F6:F15)</f>
        <v>303450000</v>
      </c>
      <c r="G16" s="58">
        <f t="shared" si="2"/>
        <v>375080313.75</v>
      </c>
      <c r="H16" s="58">
        <f t="shared" si="2"/>
        <v>138956640.56</v>
      </c>
      <c r="I16" s="58">
        <f t="shared" si="2"/>
        <v>457785139</v>
      </c>
      <c r="J16" s="58">
        <f t="shared" si="2"/>
        <v>257828051.6925</v>
      </c>
      <c r="K16" s="58">
        <f t="shared" si="2"/>
        <v>199957087.3075</v>
      </c>
      <c r="L16" s="308">
        <f t="shared" ref="L16:Q16" ca="1" si="3">SUM(L4:L134)</f>
        <v>1545128</v>
      </c>
      <c r="M16" s="308">
        <f t="shared" ca="1" si="3"/>
        <v>278123.04000000004</v>
      </c>
      <c r="N16" s="308">
        <f t="shared" ca="1" si="3"/>
        <v>56855</v>
      </c>
      <c r="O16" s="308">
        <f t="shared" ca="1" si="3"/>
        <v>1880106.04</v>
      </c>
      <c r="P16" s="308">
        <f t="shared" ca="1" si="3"/>
        <v>0</v>
      </c>
      <c r="Q16" s="308">
        <f t="shared" ca="1" si="3"/>
        <v>0</v>
      </c>
      <c r="R16" s="58">
        <f>SUM(R6:R15)</f>
        <v>274394462</v>
      </c>
      <c r="S16" s="3"/>
    </row>
    <row r="17" spans="1:21" x14ac:dyDescent="0.35">
      <c r="B17" s="287"/>
      <c r="C17" s="3"/>
      <c r="D17" s="287"/>
      <c r="E17" s="287"/>
      <c r="F17" s="273"/>
      <c r="G17" s="273"/>
      <c r="H17" s="273"/>
      <c r="I17" s="273"/>
      <c r="J17" s="273"/>
      <c r="K17" s="273"/>
      <c r="L17" s="273"/>
      <c r="M17" s="273"/>
      <c r="N17" s="273"/>
      <c r="O17" s="273"/>
      <c r="P17" s="273"/>
      <c r="Q17" s="273"/>
      <c r="R17" s="273"/>
      <c r="S17" s="3"/>
    </row>
    <row r="18" spans="1:21" x14ac:dyDescent="0.35">
      <c r="B18" s="3"/>
      <c r="C18" s="327" t="s">
        <v>34</v>
      </c>
      <c r="D18" s="3"/>
      <c r="E18" s="3"/>
      <c r="F18" s="3"/>
      <c r="G18" s="3"/>
      <c r="H18" s="3"/>
      <c r="I18" s="3"/>
      <c r="J18" s="3"/>
      <c r="K18" s="3"/>
      <c r="L18" s="3"/>
      <c r="M18" s="3"/>
      <c r="N18" s="3"/>
      <c r="O18" s="3"/>
      <c r="Q18" s="3"/>
      <c r="R18" s="3"/>
      <c r="S18" s="3"/>
    </row>
    <row r="19" spans="1:21" ht="15.5" x14ac:dyDescent="0.35">
      <c r="B19" s="132" t="s">
        <v>35</v>
      </c>
      <c r="C19" s="55"/>
      <c r="D19" s="363"/>
      <c r="E19" s="363"/>
      <c r="F19" s="80"/>
      <c r="G19" s="80"/>
      <c r="H19" s="80"/>
      <c r="I19" s="80"/>
      <c r="J19" s="80"/>
      <c r="K19" s="80"/>
      <c r="L19" s="53"/>
      <c r="M19" s="53"/>
      <c r="N19" s="53"/>
      <c r="O19" s="53"/>
      <c r="P19" s="55"/>
      <c r="Q19" s="52"/>
      <c r="R19" s="294"/>
      <c r="S19" s="52"/>
      <c r="T19" s="301"/>
    </row>
    <row r="20" spans="1:21" ht="101.5" x14ac:dyDescent="0.35">
      <c r="A20" s="3">
        <v>14</v>
      </c>
      <c r="B20" s="373">
        <v>1</v>
      </c>
      <c r="C20" s="82" t="s">
        <v>36</v>
      </c>
      <c r="D20" s="363"/>
      <c r="E20" s="363" t="s">
        <v>270</v>
      </c>
      <c r="F20" s="80">
        <v>110000000</v>
      </c>
      <c r="G20" s="80">
        <f>Annexures!D63</f>
        <v>110109161.06999999</v>
      </c>
      <c r="H20" s="80">
        <f>Annexures!M63</f>
        <v>54045479.07</v>
      </c>
      <c r="I20" s="80">
        <f>Annexures!O63</f>
        <v>736234735</v>
      </c>
      <c r="J20" s="80">
        <f>Annexures!P63</f>
        <v>550358771</v>
      </c>
      <c r="K20" s="80">
        <f>Annexures!Q63</f>
        <v>185875963</v>
      </c>
      <c r="L20" s="81">
        <v>22044</v>
      </c>
      <c r="M20" s="81">
        <f>L20*18%</f>
        <v>3967.92</v>
      </c>
      <c r="N20" s="81">
        <v>0</v>
      </c>
      <c r="O20" s="81">
        <f>L20+M20+N20</f>
        <v>26011.919999999998</v>
      </c>
      <c r="P20" s="55" t="s">
        <v>19</v>
      </c>
      <c r="Q20" s="368" t="s">
        <v>37</v>
      </c>
      <c r="R20" s="310">
        <v>125275142</v>
      </c>
      <c r="S20" s="311" t="s">
        <v>441</v>
      </c>
      <c r="T20" s="312" t="s">
        <v>468</v>
      </c>
      <c r="U20" s="3" t="s">
        <v>469</v>
      </c>
    </row>
    <row r="21" spans="1:21" ht="15.5" x14ac:dyDescent="0.35">
      <c r="B21" s="132" t="s">
        <v>39</v>
      </c>
      <c r="C21" s="55"/>
      <c r="D21" s="363"/>
      <c r="E21" s="363"/>
      <c r="F21" s="80"/>
      <c r="G21" s="80"/>
      <c r="H21" s="80"/>
      <c r="I21" s="80"/>
      <c r="J21" s="80"/>
      <c r="K21" s="80"/>
      <c r="L21" s="53"/>
      <c r="M21" s="53"/>
      <c r="N21" s="53"/>
      <c r="O21" s="53"/>
      <c r="P21" s="55"/>
      <c r="Q21" s="52"/>
      <c r="R21" s="294"/>
      <c r="S21" s="52"/>
      <c r="T21" s="301"/>
    </row>
    <row r="22" spans="1:21" ht="15.5" x14ac:dyDescent="0.35">
      <c r="B22" s="132" t="s">
        <v>40</v>
      </c>
      <c r="C22" s="134"/>
      <c r="D22" s="363"/>
      <c r="E22" s="363"/>
      <c r="F22" s="80"/>
      <c r="G22" s="80"/>
      <c r="H22" s="80"/>
      <c r="I22" s="80"/>
      <c r="J22" s="80"/>
      <c r="K22" s="80"/>
      <c r="L22" s="53"/>
      <c r="M22" s="53"/>
      <c r="N22" s="53"/>
      <c r="O22" s="53"/>
      <c r="P22" s="55"/>
      <c r="Q22" s="52"/>
      <c r="R22" s="294"/>
      <c r="S22" s="52"/>
      <c r="T22" s="301"/>
    </row>
    <row r="23" spans="1:21" ht="31" x14ac:dyDescent="0.35">
      <c r="A23" s="3">
        <v>15</v>
      </c>
      <c r="B23" s="374">
        <v>1</v>
      </c>
      <c r="C23" s="82" t="s">
        <v>282</v>
      </c>
      <c r="D23" s="363" t="s">
        <v>43</v>
      </c>
      <c r="E23" s="370" t="s">
        <v>267</v>
      </c>
      <c r="F23" s="80">
        <v>6032000</v>
      </c>
      <c r="G23" s="366">
        <f>Buildings!F9</f>
        <v>738266</v>
      </c>
      <c r="H23" s="366">
        <f>Buildings!H9</f>
        <v>1</v>
      </c>
      <c r="I23" s="366">
        <f>Buildings!L9</f>
        <v>26390000</v>
      </c>
      <c r="J23" s="366">
        <f>Buildings!M9</f>
        <v>20056400</v>
      </c>
      <c r="K23" s="366">
        <f>Buildings!N9</f>
        <v>6333600</v>
      </c>
      <c r="L23" s="53">
        <v>3921</v>
      </c>
      <c r="M23" s="53">
        <v>706</v>
      </c>
      <c r="N23" s="53"/>
      <c r="O23" s="81">
        <f t="shared" ref="O23:O29" si="4">L23+M23+N23</f>
        <v>4627</v>
      </c>
      <c r="P23" s="55" t="s">
        <v>44</v>
      </c>
      <c r="Q23" s="368" t="s">
        <v>42</v>
      </c>
      <c r="R23" s="282">
        <f>I23*15%</f>
        <v>3958500</v>
      </c>
      <c r="S23" s="281"/>
      <c r="T23" s="23" t="s">
        <v>442</v>
      </c>
    </row>
    <row r="24" spans="1:21" ht="31" x14ac:dyDescent="0.35">
      <c r="A24" s="3">
        <v>16</v>
      </c>
      <c r="B24" s="374">
        <v>2</v>
      </c>
      <c r="C24" s="82" t="s">
        <v>283</v>
      </c>
      <c r="D24" s="363" t="s">
        <v>46</v>
      </c>
      <c r="E24" s="370" t="s">
        <v>267</v>
      </c>
      <c r="F24" s="80">
        <v>2720000</v>
      </c>
      <c r="G24" s="366">
        <f>Buildings!F10</f>
        <v>2423675</v>
      </c>
      <c r="H24" s="366">
        <f>Buildings!H10</f>
        <v>824047</v>
      </c>
      <c r="I24" s="366">
        <f>Buildings!L10</f>
        <v>11900000</v>
      </c>
      <c r="J24" s="366">
        <f>Buildings!M10</f>
        <v>9044000</v>
      </c>
      <c r="K24" s="366">
        <f>Buildings!N10</f>
        <v>2856000</v>
      </c>
      <c r="L24" s="81">
        <v>1768</v>
      </c>
      <c r="M24" s="81">
        <f>L24*18%</f>
        <v>318.24</v>
      </c>
      <c r="N24" s="81">
        <v>0</v>
      </c>
      <c r="O24" s="81">
        <f t="shared" si="4"/>
        <v>2086.2399999999998</v>
      </c>
      <c r="P24" s="55" t="s">
        <v>44</v>
      </c>
      <c r="Q24" s="368" t="s">
        <v>42</v>
      </c>
      <c r="R24" s="295">
        <f>I24*15%</f>
        <v>1785000</v>
      </c>
      <c r="S24" s="281"/>
      <c r="T24" s="23" t="s">
        <v>442</v>
      </c>
    </row>
    <row r="25" spans="1:21" ht="29" x14ac:dyDescent="0.35">
      <c r="A25" s="3">
        <v>17</v>
      </c>
      <c r="B25" s="373">
        <v>3</v>
      </c>
      <c r="C25" s="55" t="s">
        <v>47</v>
      </c>
      <c r="D25" s="79" t="s">
        <v>307</v>
      </c>
      <c r="E25" s="373" t="s">
        <v>267</v>
      </c>
      <c r="F25" s="80">
        <v>3248000</v>
      </c>
      <c r="G25" s="366">
        <f>Buildings!F11</f>
        <v>3090011</v>
      </c>
      <c r="H25" s="366">
        <f>Buildings!H11</f>
        <v>1485816</v>
      </c>
      <c r="I25" s="366">
        <f>Buildings!L11</f>
        <v>24360000</v>
      </c>
      <c r="J25" s="366">
        <f>Buildings!M11</f>
        <v>3239880</v>
      </c>
      <c r="K25" s="366">
        <f>Buildings!N11</f>
        <v>21120120</v>
      </c>
      <c r="L25" s="81">
        <v>2111</v>
      </c>
      <c r="M25" s="81">
        <f>L25*18%</f>
        <v>379.97999999999996</v>
      </c>
      <c r="N25" s="81">
        <v>0</v>
      </c>
      <c r="O25" s="81">
        <f t="shared" si="4"/>
        <v>2490.98</v>
      </c>
      <c r="P25" s="55" t="s">
        <v>44</v>
      </c>
      <c r="Q25" s="368" t="s">
        <v>42</v>
      </c>
      <c r="R25" s="295">
        <f>I25*15%</f>
        <v>3654000</v>
      </c>
      <c r="S25" s="281"/>
      <c r="T25" s="23" t="s">
        <v>442</v>
      </c>
    </row>
    <row r="26" spans="1:21" ht="15.5" x14ac:dyDescent="0.35">
      <c r="B26" s="132" t="s">
        <v>49</v>
      </c>
      <c r="C26" s="55"/>
      <c r="D26" s="373"/>
      <c r="E26" s="373"/>
      <c r="F26" s="80"/>
      <c r="G26" s="80"/>
      <c r="H26" s="80"/>
      <c r="I26" s="80"/>
      <c r="J26" s="80"/>
      <c r="K26" s="80"/>
      <c r="L26" s="53"/>
      <c r="M26" s="53"/>
      <c r="N26" s="53"/>
      <c r="O26" s="81"/>
      <c r="P26" s="55"/>
      <c r="Q26" s="52"/>
      <c r="R26" s="296"/>
      <c r="S26" s="281"/>
      <c r="T26" s="55"/>
    </row>
    <row r="27" spans="1:21" ht="31" x14ac:dyDescent="0.35">
      <c r="A27" s="3">
        <v>18</v>
      </c>
      <c r="B27" s="374">
        <v>4</v>
      </c>
      <c r="C27" s="82" t="s">
        <v>277</v>
      </c>
      <c r="D27" s="363" t="s">
        <v>51</v>
      </c>
      <c r="E27" s="373"/>
      <c r="F27" s="80">
        <v>22560000</v>
      </c>
      <c r="G27" s="366">
        <f>Buildings!F13</f>
        <v>460340</v>
      </c>
      <c r="H27" s="366">
        <f>Buildings!H13</f>
        <v>2</v>
      </c>
      <c r="I27" s="366">
        <f>Buildings!L13</f>
        <v>98700000</v>
      </c>
      <c r="J27" s="366">
        <f>Buildings!M13</f>
        <v>75012000</v>
      </c>
      <c r="K27" s="366">
        <f>Buildings!N13</f>
        <v>23688000</v>
      </c>
      <c r="L27" s="53"/>
      <c r="M27" s="53"/>
      <c r="N27" s="53"/>
      <c r="O27" s="81"/>
      <c r="P27" s="55"/>
      <c r="Q27" s="52"/>
      <c r="R27" s="295">
        <f>I27*15%</f>
        <v>14805000</v>
      </c>
      <c r="S27" s="281"/>
      <c r="T27" s="23" t="s">
        <v>442</v>
      </c>
    </row>
    <row r="28" spans="1:21" ht="31" x14ac:dyDescent="0.35">
      <c r="A28" s="3">
        <v>19</v>
      </c>
      <c r="B28" s="374">
        <v>5</v>
      </c>
      <c r="C28" s="82" t="s">
        <v>400</v>
      </c>
      <c r="D28" s="363" t="s">
        <v>53</v>
      </c>
      <c r="E28" s="373"/>
      <c r="F28" s="80">
        <v>10320000</v>
      </c>
      <c r="G28" s="366">
        <f>Buildings!F14</f>
        <v>6551510.1099999994</v>
      </c>
      <c r="H28" s="366">
        <f>Buildings!H14</f>
        <v>1166709.1099999999</v>
      </c>
      <c r="I28" s="366">
        <f>Buildings!L14</f>
        <v>30100000</v>
      </c>
      <c r="J28" s="366">
        <f>Buildings!M14</f>
        <v>22876000</v>
      </c>
      <c r="K28" s="366">
        <f>Buildings!N14</f>
        <v>7224000</v>
      </c>
      <c r="L28" s="53"/>
      <c r="M28" s="53"/>
      <c r="N28" s="53"/>
      <c r="O28" s="81"/>
      <c r="P28" s="55"/>
      <c r="Q28" s="52"/>
      <c r="R28" s="295">
        <f>I28*15%</f>
        <v>4515000</v>
      </c>
      <c r="S28" s="281"/>
      <c r="T28" s="23" t="s">
        <v>442</v>
      </c>
    </row>
    <row r="29" spans="1:21" ht="31" x14ac:dyDescent="0.35">
      <c r="A29" s="3">
        <v>20</v>
      </c>
      <c r="B29" s="373">
        <v>6</v>
      </c>
      <c r="C29" s="82" t="s">
        <v>54</v>
      </c>
      <c r="D29" s="363" t="s">
        <v>55</v>
      </c>
      <c r="E29" s="363"/>
      <c r="F29" s="642">
        <v>18624000</v>
      </c>
      <c r="G29" s="642">
        <f>SUM(Buildings!F15:F18)</f>
        <v>1948190</v>
      </c>
      <c r="H29" s="642">
        <f>SUM(Buildings!H15:H18)</f>
        <v>4</v>
      </c>
      <c r="I29" s="642">
        <f>SUM(Buildings!L15:L18)</f>
        <v>139680000</v>
      </c>
      <c r="J29" s="642">
        <f>SUM(Buildings!M15:M18)</f>
        <v>106156800</v>
      </c>
      <c r="K29" s="642">
        <f>SUM(Buildings!N15:N18)</f>
        <v>33523200</v>
      </c>
      <c r="L29" s="633">
        <v>12106</v>
      </c>
      <c r="M29" s="633">
        <f>L29*18%</f>
        <v>2179.08</v>
      </c>
      <c r="N29" s="627">
        <v>0</v>
      </c>
      <c r="O29" s="634">
        <f t="shared" si="4"/>
        <v>14285.08</v>
      </c>
      <c r="P29" s="635" t="s">
        <v>44</v>
      </c>
      <c r="Q29" s="636" t="s">
        <v>42</v>
      </c>
      <c r="R29" s="664">
        <f>I29*15%</f>
        <v>20952000</v>
      </c>
      <c r="S29" s="368"/>
      <c r="T29" s="628" t="s">
        <v>442</v>
      </c>
    </row>
    <row r="30" spans="1:21" ht="31" x14ac:dyDescent="0.35">
      <c r="A30" s="3">
        <v>21</v>
      </c>
      <c r="B30" s="373">
        <v>7</v>
      </c>
      <c r="C30" s="82" t="s">
        <v>56</v>
      </c>
      <c r="D30" s="363" t="s">
        <v>57</v>
      </c>
      <c r="E30" s="363"/>
      <c r="F30" s="642"/>
      <c r="G30" s="642"/>
      <c r="H30" s="642"/>
      <c r="I30" s="642"/>
      <c r="J30" s="642"/>
      <c r="K30" s="642"/>
      <c r="L30" s="633"/>
      <c r="M30" s="633"/>
      <c r="N30" s="627"/>
      <c r="O30" s="634"/>
      <c r="P30" s="635"/>
      <c r="Q30" s="636"/>
      <c r="R30" s="664"/>
      <c r="S30" s="368"/>
      <c r="T30" s="628"/>
    </row>
    <row r="31" spans="1:21" ht="31" x14ac:dyDescent="0.35">
      <c r="A31" s="3">
        <v>22</v>
      </c>
      <c r="B31" s="373">
        <v>8</v>
      </c>
      <c r="C31" s="82" t="s">
        <v>58</v>
      </c>
      <c r="D31" s="363" t="s">
        <v>59</v>
      </c>
      <c r="E31" s="363"/>
      <c r="F31" s="642"/>
      <c r="G31" s="642"/>
      <c r="H31" s="642"/>
      <c r="I31" s="642"/>
      <c r="J31" s="642"/>
      <c r="K31" s="642"/>
      <c r="L31" s="633"/>
      <c r="M31" s="633"/>
      <c r="N31" s="627"/>
      <c r="O31" s="634"/>
      <c r="P31" s="635"/>
      <c r="Q31" s="636"/>
      <c r="R31" s="664"/>
      <c r="S31" s="368"/>
      <c r="T31" s="628"/>
    </row>
    <row r="32" spans="1:21" ht="31" x14ac:dyDescent="0.35">
      <c r="A32" s="3">
        <v>23</v>
      </c>
      <c r="B32" s="373">
        <v>9</v>
      </c>
      <c r="C32" s="82" t="s">
        <v>60</v>
      </c>
      <c r="D32" s="363" t="s">
        <v>61</v>
      </c>
      <c r="E32" s="363"/>
      <c r="F32" s="642"/>
      <c r="G32" s="642"/>
      <c r="H32" s="642"/>
      <c r="I32" s="642"/>
      <c r="J32" s="642"/>
      <c r="K32" s="642"/>
      <c r="L32" s="633"/>
      <c r="M32" s="633"/>
      <c r="N32" s="627"/>
      <c r="O32" s="634"/>
      <c r="P32" s="635"/>
      <c r="Q32" s="636"/>
      <c r="R32" s="665"/>
      <c r="S32" s="368"/>
      <c r="T32" s="628"/>
    </row>
    <row r="33" spans="1:20" ht="43.5" x14ac:dyDescent="0.35">
      <c r="A33" s="3">
        <v>24</v>
      </c>
      <c r="B33" s="373">
        <v>10</v>
      </c>
      <c r="C33" s="33" t="s">
        <v>62</v>
      </c>
      <c r="D33" s="79"/>
      <c r="E33" s="363" t="s">
        <v>270</v>
      </c>
      <c r="F33" s="80">
        <v>50000000</v>
      </c>
      <c r="G33" s="80">
        <f>Annexures!D101</f>
        <v>49144714.359999999</v>
      </c>
      <c r="H33" s="80">
        <f>Annexures!M101</f>
        <v>47144906.359999999</v>
      </c>
      <c r="I33" s="80">
        <f>Annexures!O101</f>
        <v>54175276</v>
      </c>
      <c r="J33" s="80">
        <f>Annexures!P101</f>
        <v>3859988</v>
      </c>
      <c r="K33" s="80">
        <f>Annexures!Q101</f>
        <v>50315287</v>
      </c>
      <c r="L33" s="81">
        <v>10020</v>
      </c>
      <c r="M33" s="81">
        <f>L33*18%</f>
        <v>1803.6</v>
      </c>
      <c r="N33" s="81">
        <v>0</v>
      </c>
      <c r="O33" s="81">
        <f t="shared" ref="O33:O99" si="5">L33+M33+N33</f>
        <v>11823.6</v>
      </c>
      <c r="P33" s="55" t="s">
        <v>19</v>
      </c>
      <c r="Q33" s="368" t="s">
        <v>37</v>
      </c>
      <c r="R33" s="297">
        <f>I33*15%</f>
        <v>8126291.3999999994</v>
      </c>
      <c r="S33" s="368"/>
      <c r="T33" s="283" t="s">
        <v>442</v>
      </c>
    </row>
    <row r="34" spans="1:20" ht="43.5" x14ac:dyDescent="0.35">
      <c r="A34" s="3">
        <v>25</v>
      </c>
      <c r="B34" s="373">
        <v>11</v>
      </c>
      <c r="C34" s="33" t="s">
        <v>63</v>
      </c>
      <c r="D34" s="79"/>
      <c r="E34" s="363" t="s">
        <v>270</v>
      </c>
      <c r="F34" s="80">
        <v>420000000</v>
      </c>
      <c r="G34" s="80">
        <f>Annexures!D105</f>
        <v>552251382.20000005</v>
      </c>
      <c r="H34" s="80">
        <f>Annexures!M105</f>
        <v>490580755.19999999</v>
      </c>
      <c r="I34" s="80">
        <f>Annexures!O105</f>
        <v>925930461</v>
      </c>
      <c r="J34" s="215">
        <f>Annexures!P105</f>
        <v>197917636</v>
      </c>
      <c r="K34" s="80">
        <f>Annexures!Q105</f>
        <v>728012825</v>
      </c>
      <c r="L34" s="81">
        <v>84168</v>
      </c>
      <c r="M34" s="81">
        <f>L34*18%</f>
        <v>15150.24</v>
      </c>
      <c r="N34" s="81">
        <v>0</v>
      </c>
      <c r="O34" s="81">
        <f t="shared" si="5"/>
        <v>99318.24</v>
      </c>
      <c r="P34" s="55" t="s">
        <v>19</v>
      </c>
      <c r="Q34" s="368" t="s">
        <v>37</v>
      </c>
      <c r="R34" s="298">
        <f>I34*50%</f>
        <v>462965230.5</v>
      </c>
      <c r="S34" s="368"/>
      <c r="T34" s="284" t="s">
        <v>443</v>
      </c>
    </row>
    <row r="35" spans="1:20" ht="43.5" x14ac:dyDescent="0.35">
      <c r="A35" s="3">
        <v>26</v>
      </c>
      <c r="B35" s="373">
        <v>12</v>
      </c>
      <c r="C35" s="33" t="s">
        <v>64</v>
      </c>
      <c r="D35" s="79"/>
      <c r="E35" s="79"/>
      <c r="F35" s="80">
        <v>150000000</v>
      </c>
      <c r="G35" s="80">
        <f>Annexures!D113</f>
        <v>32363534.640000001</v>
      </c>
      <c r="H35" s="80">
        <f>Annexures!M113</f>
        <v>1675178</v>
      </c>
      <c r="I35" s="80">
        <f>Annexures!O113</f>
        <v>286999498</v>
      </c>
      <c r="J35" s="80">
        <f>Annexures!P113</f>
        <v>20639478</v>
      </c>
      <c r="K35" s="80">
        <f>Annexures!Q113</f>
        <v>26522544</v>
      </c>
      <c r="L35" s="81">
        <v>30060</v>
      </c>
      <c r="M35" s="81">
        <f>L35*18%</f>
        <v>5410.8</v>
      </c>
      <c r="N35" s="81">
        <v>0</v>
      </c>
      <c r="O35" s="81">
        <f t="shared" si="5"/>
        <v>35470.800000000003</v>
      </c>
      <c r="P35" s="55" t="s">
        <v>19</v>
      </c>
      <c r="Q35" s="368" t="s">
        <v>37</v>
      </c>
      <c r="R35" s="304">
        <f>I35*15%</f>
        <v>43049924.699999996</v>
      </c>
      <c r="S35" s="368"/>
      <c r="T35" s="283" t="s">
        <v>442</v>
      </c>
    </row>
    <row r="36" spans="1:20" ht="15.5" x14ac:dyDescent="0.35">
      <c r="B36" s="132" t="s">
        <v>65</v>
      </c>
      <c r="C36" s="55"/>
      <c r="D36" s="363"/>
      <c r="E36" s="363"/>
      <c r="F36" s="80"/>
      <c r="G36" s="80"/>
      <c r="H36" s="80"/>
      <c r="I36" s="80"/>
      <c r="J36" s="80"/>
      <c r="K36" s="80"/>
      <c r="L36" s="81"/>
      <c r="M36" s="81"/>
      <c r="N36" s="81"/>
      <c r="O36" s="81"/>
      <c r="P36" s="55"/>
      <c r="Q36" s="52"/>
      <c r="R36" s="299"/>
      <c r="S36" s="52"/>
      <c r="T36" s="284"/>
    </row>
    <row r="37" spans="1:20" ht="31" x14ac:dyDescent="0.35">
      <c r="A37" s="3">
        <v>27</v>
      </c>
      <c r="B37" s="373">
        <v>13</v>
      </c>
      <c r="C37" s="82" t="s">
        <v>66</v>
      </c>
      <c r="D37" s="363" t="s">
        <v>67</v>
      </c>
      <c r="E37" s="363"/>
      <c r="F37" s="80">
        <v>54230000</v>
      </c>
      <c r="G37" s="80"/>
      <c r="H37" s="80"/>
      <c r="I37" s="366">
        <f>Buildings!L23</f>
        <v>72630000</v>
      </c>
      <c r="J37" s="366">
        <f>Buildings!M23</f>
        <v>6899850</v>
      </c>
      <c r="K37" s="366">
        <f>Buildings!N23</f>
        <v>65730150</v>
      </c>
      <c r="L37" s="83">
        <v>25081</v>
      </c>
      <c r="M37" s="84">
        <f>L37*18%</f>
        <v>4514.58</v>
      </c>
      <c r="N37" s="83">
        <v>0</v>
      </c>
      <c r="O37" s="81">
        <f t="shared" si="5"/>
        <v>29595.58</v>
      </c>
      <c r="P37" s="55" t="s">
        <v>19</v>
      </c>
      <c r="Q37" s="368" t="s">
        <v>42</v>
      </c>
      <c r="R37" s="304">
        <f>I37*50%</f>
        <v>36315000</v>
      </c>
      <c r="S37" s="368"/>
      <c r="T37" s="284" t="s">
        <v>443</v>
      </c>
    </row>
    <row r="38" spans="1:20" ht="31" x14ac:dyDescent="0.35">
      <c r="A38" s="3">
        <v>28</v>
      </c>
      <c r="B38" s="373">
        <v>14</v>
      </c>
      <c r="C38" s="82" t="s">
        <v>478</v>
      </c>
      <c r="D38" s="363" t="s">
        <v>69</v>
      </c>
      <c r="E38" s="363"/>
      <c r="F38" s="80">
        <v>28245000</v>
      </c>
      <c r="G38" s="80"/>
      <c r="H38" s="80"/>
      <c r="I38" s="366">
        <f>Buildings!L24</f>
        <v>24210000</v>
      </c>
      <c r="J38" s="366">
        <f>Buildings!M24</f>
        <v>2299950</v>
      </c>
      <c r="K38" s="366">
        <f>Buildings!N24</f>
        <v>21910050</v>
      </c>
      <c r="L38" s="83">
        <v>13063</v>
      </c>
      <c r="M38" s="84">
        <f>L38*18%</f>
        <v>2351.3399999999997</v>
      </c>
      <c r="N38" s="83">
        <v>0</v>
      </c>
      <c r="O38" s="81">
        <f t="shared" si="5"/>
        <v>15414.34</v>
      </c>
      <c r="P38" s="55" t="s">
        <v>19</v>
      </c>
      <c r="Q38" s="368" t="s">
        <v>42</v>
      </c>
      <c r="R38" s="304">
        <f>I38*50%</f>
        <v>12105000</v>
      </c>
      <c r="S38" s="368"/>
      <c r="T38" s="284" t="s">
        <v>443</v>
      </c>
    </row>
    <row r="39" spans="1:20" ht="43.5" x14ac:dyDescent="0.35">
      <c r="A39" s="3">
        <v>29</v>
      </c>
      <c r="B39" s="373">
        <v>15</v>
      </c>
      <c r="C39" s="33" t="s">
        <v>70</v>
      </c>
      <c r="D39" s="79"/>
      <c r="E39" s="79"/>
      <c r="F39" s="80">
        <v>395000000</v>
      </c>
      <c r="G39" s="80">
        <f>Annexures!D119</f>
        <v>436728707.77999997</v>
      </c>
      <c r="H39" s="80">
        <f>Annexures!M119</f>
        <v>288037985.77999997</v>
      </c>
      <c r="I39" s="80">
        <f>Annexures!O119</f>
        <v>1025873622</v>
      </c>
      <c r="J39" s="80">
        <f>Annexures!P119</f>
        <v>360594964</v>
      </c>
      <c r="K39" s="80">
        <f>Annexures!Q119</f>
        <v>665278658</v>
      </c>
      <c r="L39" s="81">
        <v>79158</v>
      </c>
      <c r="M39" s="81">
        <f>L39*18%</f>
        <v>14248.439999999999</v>
      </c>
      <c r="N39" s="81">
        <v>0</v>
      </c>
      <c r="O39" s="81">
        <f t="shared" si="5"/>
        <v>93406.44</v>
      </c>
      <c r="P39" s="55" t="s">
        <v>19</v>
      </c>
      <c r="Q39" s="368" t="s">
        <v>37</v>
      </c>
      <c r="R39" s="304">
        <f>I39*50%</f>
        <v>512936811</v>
      </c>
      <c r="S39" s="368"/>
      <c r="T39" s="284" t="s">
        <v>443</v>
      </c>
    </row>
    <row r="40" spans="1:20" ht="43.5" x14ac:dyDescent="0.35">
      <c r="A40" s="3">
        <v>30</v>
      </c>
      <c r="B40" s="373">
        <v>16</v>
      </c>
      <c r="C40" s="33" t="s">
        <v>470</v>
      </c>
      <c r="D40" s="13" t="s">
        <v>406</v>
      </c>
      <c r="E40" s="79"/>
      <c r="F40" s="80">
        <v>6325113</v>
      </c>
      <c r="G40" s="80"/>
      <c r="H40" s="80"/>
      <c r="I40" s="80">
        <f>Buildings!L36</f>
        <v>7366834.2000000002</v>
      </c>
      <c r="J40" s="80">
        <f>Buildings!M36</f>
        <v>419909.54939999996</v>
      </c>
      <c r="K40" s="80">
        <f>Buildings!N36</f>
        <v>6946924.6506000003</v>
      </c>
      <c r="L40" s="81">
        <v>1268</v>
      </c>
      <c r="M40" s="81">
        <f>L40*18%</f>
        <v>228.23999999999998</v>
      </c>
      <c r="N40" s="81">
        <v>0</v>
      </c>
      <c r="O40" s="81">
        <f t="shared" si="5"/>
        <v>1496.24</v>
      </c>
      <c r="P40" s="55" t="s">
        <v>19</v>
      </c>
      <c r="Q40" s="368" t="s">
        <v>37</v>
      </c>
      <c r="R40" s="304">
        <f>I40*50%</f>
        <v>3683417.1</v>
      </c>
      <c r="S40" s="368"/>
      <c r="T40" s="284" t="s">
        <v>443</v>
      </c>
    </row>
    <row r="41" spans="1:20" ht="17" x14ac:dyDescent="0.35">
      <c r="B41" s="136" t="s">
        <v>158</v>
      </c>
      <c r="C41" s="33"/>
      <c r="D41" s="79"/>
      <c r="E41" s="79"/>
      <c r="F41" s="80"/>
      <c r="G41" s="80"/>
      <c r="H41" s="80"/>
      <c r="I41" s="80"/>
      <c r="J41" s="80"/>
      <c r="K41" s="80"/>
      <c r="L41" s="53"/>
      <c r="M41" s="53"/>
      <c r="N41" s="53"/>
      <c r="O41" s="53"/>
      <c r="P41" s="55"/>
      <c r="Q41" s="52"/>
      <c r="R41" s="263"/>
      <c r="S41" s="52"/>
      <c r="T41" s="301"/>
    </row>
    <row r="42" spans="1:20" ht="31" x14ac:dyDescent="0.35">
      <c r="A42" s="55">
        <v>31</v>
      </c>
      <c r="B42" s="373">
        <v>1</v>
      </c>
      <c r="C42" s="33" t="s">
        <v>72</v>
      </c>
      <c r="D42" s="363" t="s">
        <v>74</v>
      </c>
      <c r="E42" s="363"/>
      <c r="F42" s="137">
        <v>9600000</v>
      </c>
      <c r="G42" s="137">
        <f>Annexures!D130</f>
        <v>3514332.45</v>
      </c>
      <c r="H42" s="137">
        <f>Annexures!M130</f>
        <v>13315</v>
      </c>
      <c r="I42" s="137">
        <f>Buildings!L28</f>
        <v>45936000</v>
      </c>
      <c r="J42" s="137">
        <f>Buildings!M28</f>
        <v>0</v>
      </c>
      <c r="K42" s="137">
        <f>Buildings!N28</f>
        <v>2296800</v>
      </c>
      <c r="L42" s="81">
        <v>2856</v>
      </c>
      <c r="M42" s="81">
        <f>L42*18/100</f>
        <v>514.08000000000004</v>
      </c>
      <c r="N42" s="135">
        <v>0</v>
      </c>
      <c r="O42" s="81">
        <f t="shared" si="5"/>
        <v>3370.08</v>
      </c>
      <c r="P42" s="55" t="s">
        <v>10</v>
      </c>
      <c r="Q42" s="32" t="s">
        <v>73</v>
      </c>
      <c r="R42" s="300">
        <f>I42*15%</f>
        <v>6890400</v>
      </c>
      <c r="S42" s="32"/>
      <c r="T42" s="283" t="s">
        <v>442</v>
      </c>
    </row>
    <row r="43" spans="1:20" ht="31" x14ac:dyDescent="0.35">
      <c r="A43" s="55">
        <v>32</v>
      </c>
      <c r="B43" s="373">
        <v>2</v>
      </c>
      <c r="C43" s="82" t="s">
        <v>75</v>
      </c>
      <c r="D43" s="363" t="s">
        <v>76</v>
      </c>
      <c r="E43" s="363"/>
      <c r="F43" s="137">
        <v>71700000</v>
      </c>
      <c r="G43" s="137">
        <f>Annexures!D139</f>
        <v>61298199.149999999</v>
      </c>
      <c r="H43" s="137">
        <f>Annexures!M139</f>
        <v>29744848.150000002</v>
      </c>
      <c r="I43" s="137">
        <f>Buildings!L29</f>
        <v>126104000</v>
      </c>
      <c r="J43" s="137">
        <f>Buildings!M29</f>
        <v>47919520</v>
      </c>
      <c r="K43" s="137">
        <f>Buildings!N29</f>
        <v>78184480</v>
      </c>
      <c r="L43" s="81">
        <v>15121</v>
      </c>
      <c r="M43" s="81">
        <f>L43*18/100</f>
        <v>2721.78</v>
      </c>
      <c r="N43" s="135">
        <v>0</v>
      </c>
      <c r="O43" s="81">
        <f t="shared" si="5"/>
        <v>17842.78</v>
      </c>
      <c r="P43" s="55" t="s">
        <v>10</v>
      </c>
      <c r="Q43" s="32" t="s">
        <v>73</v>
      </c>
      <c r="R43" s="304">
        <f>I43*50%</f>
        <v>63052000</v>
      </c>
      <c r="S43" s="32"/>
      <c r="T43" s="284" t="s">
        <v>443</v>
      </c>
    </row>
    <row r="44" spans="1:20" ht="31" x14ac:dyDescent="0.35">
      <c r="A44" s="55">
        <v>33</v>
      </c>
      <c r="B44" s="373">
        <v>3</v>
      </c>
      <c r="C44" s="82" t="s">
        <v>77</v>
      </c>
      <c r="D44" s="363" t="s">
        <v>78</v>
      </c>
      <c r="E44" s="363"/>
      <c r="F44" s="137">
        <v>7400000</v>
      </c>
      <c r="G44" s="137">
        <f>Annexures!D147</f>
        <v>2561884.81</v>
      </c>
      <c r="H44" s="137">
        <f>Annexures!M147</f>
        <v>1693336.81</v>
      </c>
      <c r="I44" s="137">
        <f>Buildings!L30</f>
        <v>35460000</v>
      </c>
      <c r="J44" s="137">
        <f>Buildings!M30</f>
        <v>0</v>
      </c>
      <c r="K44" s="137">
        <f>Buildings!N30</f>
        <v>1773000</v>
      </c>
      <c r="L44" s="81">
        <v>2220</v>
      </c>
      <c r="M44" s="81">
        <f>L44*18%</f>
        <v>399.59999999999997</v>
      </c>
      <c r="N44" s="81">
        <v>0</v>
      </c>
      <c r="O44" s="81">
        <f t="shared" si="5"/>
        <v>2619.6</v>
      </c>
      <c r="P44" s="55" t="s">
        <v>79</v>
      </c>
      <c r="Q44" s="32" t="s">
        <v>73</v>
      </c>
      <c r="R44" s="300">
        <f>I44*15%</f>
        <v>5319000</v>
      </c>
      <c r="S44" s="32"/>
      <c r="T44" s="283" t="s">
        <v>442</v>
      </c>
    </row>
    <row r="45" spans="1:20" ht="31" x14ac:dyDescent="0.35">
      <c r="A45" s="55">
        <v>34</v>
      </c>
      <c r="B45" s="373">
        <v>4</v>
      </c>
      <c r="C45" s="33" t="s">
        <v>80</v>
      </c>
      <c r="D45" s="363" t="s">
        <v>81</v>
      </c>
      <c r="E45" s="363"/>
      <c r="F45" s="137">
        <v>20600000</v>
      </c>
      <c r="G45" s="137">
        <f>Annexures!D150</f>
        <v>1012567</v>
      </c>
      <c r="H45" s="137">
        <f>Annexures!M150</f>
        <v>177194</v>
      </c>
      <c r="I45" s="137">
        <f>Buildings!L31</f>
        <v>29700000</v>
      </c>
      <c r="J45" s="137">
        <f>Buildings!M31</f>
        <v>19750500</v>
      </c>
      <c r="K45" s="137">
        <f>Buildings!N31</f>
        <v>9949500</v>
      </c>
      <c r="L45" s="81">
        <v>5029</v>
      </c>
      <c r="M45" s="81">
        <f>L45*18/100</f>
        <v>905.22</v>
      </c>
      <c r="N45" s="135">
        <v>0</v>
      </c>
      <c r="O45" s="81">
        <f t="shared" si="5"/>
        <v>5934.22</v>
      </c>
      <c r="P45" s="55" t="s">
        <v>10</v>
      </c>
      <c r="Q45" s="32" t="s">
        <v>73</v>
      </c>
      <c r="R45" s="300">
        <f>I45*15%</f>
        <v>4455000</v>
      </c>
      <c r="S45" s="32"/>
      <c r="T45" s="283" t="s">
        <v>442</v>
      </c>
    </row>
    <row r="46" spans="1:20" ht="31" x14ac:dyDescent="0.35">
      <c r="A46" s="55">
        <v>35</v>
      </c>
      <c r="B46" s="373">
        <v>5</v>
      </c>
      <c r="C46" s="33" t="s">
        <v>82</v>
      </c>
      <c r="D46" s="363" t="s">
        <v>83</v>
      </c>
      <c r="E46" s="363"/>
      <c r="F46" s="137">
        <v>5200000</v>
      </c>
      <c r="G46" s="137">
        <f>Annexures!D155</f>
        <v>447061</v>
      </c>
      <c r="H46" s="137">
        <f>Annexures!M155</f>
        <v>212384</v>
      </c>
      <c r="I46" s="137">
        <f>Buildings!L32</f>
        <v>24930000</v>
      </c>
      <c r="J46" s="137">
        <f>Buildings!M32</f>
        <v>16578450</v>
      </c>
      <c r="K46" s="137">
        <f>Buildings!N32</f>
        <v>8351550</v>
      </c>
      <c r="L46" s="81">
        <v>1560</v>
      </c>
      <c r="M46" s="81">
        <f>L46*18%</f>
        <v>280.8</v>
      </c>
      <c r="N46" s="81">
        <v>0</v>
      </c>
      <c r="O46" s="81">
        <f t="shared" si="5"/>
        <v>1840.8</v>
      </c>
      <c r="P46" s="55" t="s">
        <v>79</v>
      </c>
      <c r="Q46" s="32" t="s">
        <v>73</v>
      </c>
      <c r="R46" s="300">
        <f>I46*15%</f>
        <v>3739500</v>
      </c>
      <c r="S46" s="32"/>
      <c r="T46" s="283" t="s">
        <v>442</v>
      </c>
    </row>
    <row r="47" spans="1:20" ht="31" x14ac:dyDescent="0.35">
      <c r="A47" s="55">
        <v>36</v>
      </c>
      <c r="B47" s="373">
        <v>6</v>
      </c>
      <c r="C47" s="33" t="s">
        <v>84</v>
      </c>
      <c r="D47" s="363" t="s">
        <v>85</v>
      </c>
      <c r="E47" s="363"/>
      <c r="F47" s="137">
        <v>54900000</v>
      </c>
      <c r="G47" s="137">
        <f>Annexures!D158</f>
        <v>16031067.51</v>
      </c>
      <c r="H47" s="137">
        <f>Annexures!M158</f>
        <v>13356784.51</v>
      </c>
      <c r="I47" s="137">
        <f>Buildings!L33</f>
        <v>65934000</v>
      </c>
      <c r="J47" s="137">
        <f>Buildings!M33</f>
        <v>12527460</v>
      </c>
      <c r="K47" s="137">
        <f>Buildings!N33</f>
        <v>53406540</v>
      </c>
      <c r="L47" s="81">
        <v>11803</v>
      </c>
      <c r="M47" s="81">
        <f>L47*18/100</f>
        <v>2124.54</v>
      </c>
      <c r="N47" s="135">
        <v>0</v>
      </c>
      <c r="O47" s="81">
        <f>L47+M47+N47</f>
        <v>13927.54</v>
      </c>
      <c r="P47" s="55" t="s">
        <v>10</v>
      </c>
      <c r="Q47" s="32" t="s">
        <v>73</v>
      </c>
      <c r="R47" s="295">
        <f>I47*50%</f>
        <v>32967000</v>
      </c>
      <c r="S47" s="32"/>
      <c r="T47" s="284" t="s">
        <v>443</v>
      </c>
    </row>
    <row r="48" spans="1:20" ht="29" x14ac:dyDescent="0.35">
      <c r="A48" s="55">
        <v>37</v>
      </c>
      <c r="B48" s="373">
        <v>7</v>
      </c>
      <c r="C48" s="55" t="s">
        <v>401</v>
      </c>
      <c r="D48" s="23" t="s">
        <v>402</v>
      </c>
      <c r="E48" s="55"/>
      <c r="F48" s="324"/>
      <c r="G48" s="324"/>
      <c r="H48" s="324"/>
      <c r="I48" s="325">
        <f>Buildings!L34</f>
        <v>74900000</v>
      </c>
      <c r="J48" s="325">
        <f>Buildings!M34</f>
        <v>35577500</v>
      </c>
      <c r="K48" s="325">
        <f>Buildings!N34</f>
        <v>39322500</v>
      </c>
      <c r="L48" s="3"/>
      <c r="M48" s="3"/>
      <c r="N48" s="3"/>
      <c r="O48" s="3"/>
      <c r="Q48" s="3"/>
      <c r="R48" s="326">
        <f>I48*15%</f>
        <v>11235000</v>
      </c>
      <c r="S48" s="55"/>
      <c r="T48" s="283" t="s">
        <v>442</v>
      </c>
    </row>
    <row r="49" spans="1:20" ht="31" x14ac:dyDescent="0.35">
      <c r="A49" s="3">
        <v>38</v>
      </c>
      <c r="B49" s="373">
        <v>8</v>
      </c>
      <c r="C49" s="329" t="s">
        <v>408</v>
      </c>
      <c r="D49" s="330" t="s">
        <v>409</v>
      </c>
      <c r="E49" s="331"/>
      <c r="F49" s="332"/>
      <c r="G49" s="333">
        <f t="shared" ref="G49:R50" si="6">G19+G22+G23+G24+G26+G27+G28+G32+G33+G34+G36+G37+G38+G39+G41+G42+G43+G44+G45+G46+G47+G48</f>
        <v>1133163707.3700001</v>
      </c>
      <c r="H49" s="333">
        <f t="shared" si="6"/>
        <v>872952268.91999984</v>
      </c>
      <c r="I49" s="333">
        <f t="shared" si="6"/>
        <v>2672873359</v>
      </c>
      <c r="J49" s="333">
        <f t="shared" si="6"/>
        <v>830914218</v>
      </c>
      <c r="K49" s="333">
        <f t="shared" si="6"/>
        <v>1764632940</v>
      </c>
      <c r="L49" s="333">
        <f t="shared" si="6"/>
        <v>255768</v>
      </c>
      <c r="M49" s="333">
        <f t="shared" si="6"/>
        <v>46038.460000000006</v>
      </c>
      <c r="N49" s="333">
        <f t="shared" si="6"/>
        <v>0</v>
      </c>
      <c r="O49" s="333">
        <f t="shared" si="6"/>
        <v>301806.4599999999</v>
      </c>
      <c r="P49" s="333" t="e">
        <f t="shared" si="6"/>
        <v>#VALUE!</v>
      </c>
      <c r="Q49" s="333" t="e">
        <f t="shared" si="6"/>
        <v>#VALUE!</v>
      </c>
      <c r="R49" s="334">
        <f>I49*50%</f>
        <v>1336436679.5</v>
      </c>
      <c r="S49" s="335"/>
      <c r="T49" s="336" t="s">
        <v>443</v>
      </c>
    </row>
    <row r="50" spans="1:20" ht="15.5" x14ac:dyDescent="0.35">
      <c r="A50" s="55"/>
      <c r="B50" s="373"/>
      <c r="C50" s="372" t="s">
        <v>472</v>
      </c>
      <c r="D50" s="13"/>
      <c r="E50" s="62"/>
      <c r="F50" s="334">
        <f>F20+F23+F24+F25+F27+F28+F29+F33+F34+F35+F37+F38+F39+F40+F42+F43+F44+F45+F46+F47+F48+F49</f>
        <v>1446704113</v>
      </c>
      <c r="G50" s="334">
        <f t="shared" si="6"/>
        <v>2413838311.4499998</v>
      </c>
      <c r="H50" s="334">
        <f t="shared" si="6"/>
        <v>1803111014.9099998</v>
      </c>
      <c r="I50" s="334">
        <f t="shared" si="6"/>
        <v>6540387785.1999998</v>
      </c>
      <c r="J50" s="334">
        <f t="shared" si="6"/>
        <v>2342643274.5494003</v>
      </c>
      <c r="K50" s="334">
        <f t="shared" si="6"/>
        <v>3803254631.6506</v>
      </c>
      <c r="L50" s="334">
        <f t="shared" si="6"/>
        <v>579125</v>
      </c>
      <c r="M50" s="334">
        <f t="shared" si="6"/>
        <v>104242.94</v>
      </c>
      <c r="N50" s="334">
        <f t="shared" si="6"/>
        <v>0</v>
      </c>
      <c r="O50" s="334">
        <f t="shared" si="6"/>
        <v>683367.93999999971</v>
      </c>
      <c r="P50" s="334" t="e">
        <f t="shared" si="6"/>
        <v>#VALUE!</v>
      </c>
      <c r="Q50" s="334" t="e">
        <f t="shared" si="6"/>
        <v>#VALUE!</v>
      </c>
      <c r="R50" s="334">
        <f t="shared" si="6"/>
        <v>2718220896.1999998</v>
      </c>
      <c r="S50" s="264"/>
      <c r="T50" s="323"/>
    </row>
    <row r="51" spans="1:20" ht="15.5" x14ac:dyDescent="0.35">
      <c r="B51" s="287"/>
      <c r="C51" s="259"/>
      <c r="D51" s="256"/>
      <c r="E51" s="90"/>
      <c r="F51" s="90"/>
      <c r="G51" s="319"/>
      <c r="H51" s="320"/>
      <c r="I51" s="321"/>
      <c r="J51" s="321"/>
      <c r="K51" s="321"/>
      <c r="L51" s="313"/>
      <c r="M51" s="313"/>
      <c r="N51" s="313"/>
      <c r="O51" s="313"/>
      <c r="P51" s="98"/>
      <c r="Q51" s="264"/>
      <c r="R51" s="322"/>
      <c r="S51" s="264"/>
      <c r="T51" s="323"/>
    </row>
    <row r="52" spans="1:20" x14ac:dyDescent="0.35">
      <c r="B52" s="3"/>
      <c r="E52" s="3"/>
      <c r="F52" s="3"/>
      <c r="G52" s="3"/>
      <c r="H52" s="3"/>
      <c r="L52" s="3"/>
      <c r="M52" s="3"/>
      <c r="N52" s="3"/>
      <c r="O52" s="3"/>
      <c r="Q52" s="3"/>
      <c r="R52" s="3"/>
      <c r="S52" s="3"/>
    </row>
    <row r="53" spans="1:20" ht="19.5" x14ac:dyDescent="0.35">
      <c r="B53" s="133" t="s">
        <v>86</v>
      </c>
      <c r="C53" s="33"/>
      <c r="D53" s="79"/>
      <c r="E53" s="79"/>
      <c r="F53" s="80"/>
      <c r="G53" s="80"/>
      <c r="H53" s="80"/>
      <c r="I53" s="80"/>
      <c r="J53" s="80"/>
      <c r="K53" s="80"/>
      <c r="L53" s="53"/>
      <c r="M53" s="53"/>
      <c r="N53" s="53"/>
      <c r="O53" s="53"/>
      <c r="P53" s="55"/>
      <c r="Q53" s="52"/>
      <c r="R53" s="52"/>
      <c r="S53" s="52"/>
      <c r="T53" s="42"/>
    </row>
    <row r="54" spans="1:20" ht="29" x14ac:dyDescent="0.35">
      <c r="A54" s="3">
        <v>39</v>
      </c>
      <c r="B54" s="373">
        <v>1</v>
      </c>
      <c r="C54" s="82" t="s">
        <v>87</v>
      </c>
      <c r="D54" s="363">
        <v>1</v>
      </c>
      <c r="E54" s="363" t="s">
        <v>271</v>
      </c>
      <c r="F54" s="80">
        <v>17000000</v>
      </c>
      <c r="G54" s="80">
        <f>Mechanical!G6</f>
        <v>9940193</v>
      </c>
      <c r="H54" s="80">
        <f>Mechanical!H6</f>
        <v>728602</v>
      </c>
      <c r="I54" s="80">
        <f>Annexures!O162</f>
        <v>25000000</v>
      </c>
      <c r="J54" s="80">
        <f>Annexures!P162</f>
        <v>23750000</v>
      </c>
      <c r="K54" s="80">
        <f>Annexures!Q162</f>
        <v>1250000</v>
      </c>
      <c r="L54" s="83">
        <v>10263</v>
      </c>
      <c r="M54" s="84">
        <v>1847.34</v>
      </c>
      <c r="N54" s="83">
        <v>0</v>
      </c>
      <c r="O54" s="81">
        <f t="shared" si="5"/>
        <v>12110.34</v>
      </c>
      <c r="P54" s="55" t="s">
        <v>19</v>
      </c>
      <c r="Q54" s="368" t="s">
        <v>88</v>
      </c>
      <c r="R54" s="281">
        <v>1250000</v>
      </c>
      <c r="S54" s="23" t="s">
        <v>444</v>
      </c>
      <c r="T54" s="301"/>
    </row>
    <row r="55" spans="1:20" ht="58" x14ac:dyDescent="0.35">
      <c r="A55" s="3">
        <v>40</v>
      </c>
      <c r="B55" s="373">
        <v>2</v>
      </c>
      <c r="C55" s="82" t="s">
        <v>89</v>
      </c>
      <c r="D55" s="363">
        <v>1</v>
      </c>
      <c r="E55" s="363" t="s">
        <v>271</v>
      </c>
      <c r="F55" s="80">
        <v>140000000</v>
      </c>
      <c r="G55" s="80">
        <f>Annexures!D164</f>
        <v>104307906.2</v>
      </c>
      <c r="H55" s="80">
        <f>Annexures!M164</f>
        <v>37379380.409999996</v>
      </c>
      <c r="I55" s="80">
        <f>Annexures!O164</f>
        <v>200000000</v>
      </c>
      <c r="J55" s="80">
        <f>Annexures!P164</f>
        <v>133000000</v>
      </c>
      <c r="K55" s="80">
        <f>Annexures!Q164</f>
        <v>67000000</v>
      </c>
      <c r="L55" s="83">
        <v>67150</v>
      </c>
      <c r="M55" s="84">
        <v>12087</v>
      </c>
      <c r="N55" s="83">
        <v>0</v>
      </c>
      <c r="O55" s="81">
        <f t="shared" si="5"/>
        <v>79237</v>
      </c>
      <c r="P55" s="55" t="s">
        <v>19</v>
      </c>
      <c r="Q55" s="52" t="s">
        <v>88</v>
      </c>
      <c r="R55" s="281">
        <v>50000000</v>
      </c>
      <c r="S55" s="23" t="s">
        <v>445</v>
      </c>
      <c r="T55" s="301"/>
    </row>
    <row r="56" spans="1:20" ht="43.5" x14ac:dyDescent="0.35">
      <c r="A56" s="3">
        <v>41</v>
      </c>
      <c r="B56" s="373">
        <v>3</v>
      </c>
      <c r="C56" s="138" t="s">
        <v>90</v>
      </c>
      <c r="D56" s="363">
        <v>2</v>
      </c>
      <c r="E56" s="363" t="s">
        <v>271</v>
      </c>
      <c r="F56" s="80">
        <v>5000000</v>
      </c>
      <c r="G56" s="80">
        <f>Annexures!D169</f>
        <v>4762699.26</v>
      </c>
      <c r="H56" s="80">
        <f>Annexures!M169</f>
        <v>986791.26</v>
      </c>
      <c r="I56" s="80">
        <f>Annexures!O169</f>
        <v>5000000</v>
      </c>
      <c r="J56" s="80">
        <f>Annexures!P169</f>
        <v>3562500</v>
      </c>
      <c r="K56" s="80">
        <f>Annexures!Q169</f>
        <v>1437500</v>
      </c>
      <c r="L56" s="83">
        <v>4185</v>
      </c>
      <c r="M56" s="84">
        <v>753.3</v>
      </c>
      <c r="N56" s="83">
        <v>0</v>
      </c>
      <c r="O56" s="81">
        <f t="shared" si="5"/>
        <v>4938.3</v>
      </c>
      <c r="P56" s="55" t="s">
        <v>10</v>
      </c>
      <c r="Q56" s="368" t="s">
        <v>88</v>
      </c>
      <c r="R56" s="281">
        <v>843750</v>
      </c>
      <c r="S56" s="23" t="s">
        <v>446</v>
      </c>
      <c r="T56" s="301"/>
    </row>
    <row r="57" spans="1:20" ht="58" x14ac:dyDescent="0.35">
      <c r="A57" s="3">
        <v>42</v>
      </c>
      <c r="B57" s="373">
        <v>4</v>
      </c>
      <c r="C57" s="82" t="s">
        <v>91</v>
      </c>
      <c r="D57" s="363">
        <v>1</v>
      </c>
      <c r="E57" s="363" t="s">
        <v>271</v>
      </c>
      <c r="F57" s="80">
        <v>23420938</v>
      </c>
      <c r="G57" s="80">
        <f>Annexures!D172</f>
        <v>10513594</v>
      </c>
      <c r="H57" s="80">
        <f>Annexures!M172</f>
        <v>7021065</v>
      </c>
      <c r="I57" s="80">
        <f>Annexures!O172</f>
        <v>25000000</v>
      </c>
      <c r="J57" s="80">
        <f>Annexures!P172</f>
        <v>8906250</v>
      </c>
      <c r="K57" s="80">
        <f>Annexures!Q172</f>
        <v>16093750</v>
      </c>
      <c r="L57" s="83">
        <v>13232</v>
      </c>
      <c r="M57" s="84">
        <v>2381.7600000000002</v>
      </c>
      <c r="N57" s="84">
        <v>0</v>
      </c>
      <c r="O57" s="81">
        <f t="shared" si="5"/>
        <v>15613.76</v>
      </c>
      <c r="P57" s="55" t="s">
        <v>19</v>
      </c>
      <c r="Q57" s="52" t="s">
        <v>88</v>
      </c>
      <c r="R57" s="281">
        <v>10000000</v>
      </c>
      <c r="S57" s="23" t="s">
        <v>447</v>
      </c>
      <c r="T57" s="301"/>
    </row>
    <row r="58" spans="1:20" ht="31" x14ac:dyDescent="0.35">
      <c r="A58" s="3">
        <v>43</v>
      </c>
      <c r="B58" s="373">
        <v>5</v>
      </c>
      <c r="C58" s="82" t="s">
        <v>92</v>
      </c>
      <c r="D58" s="363">
        <v>2</v>
      </c>
      <c r="E58" s="363" t="s">
        <v>271</v>
      </c>
      <c r="F58" s="80">
        <v>1792124</v>
      </c>
      <c r="G58" s="80">
        <f>Annexures!D177</f>
        <v>807562</v>
      </c>
      <c r="H58" s="80">
        <f>Annexures!M177</f>
        <v>563910</v>
      </c>
      <c r="I58" s="80">
        <f>Annexures!O177</f>
        <v>1800000</v>
      </c>
      <c r="J58" s="80">
        <f>Annexures!P177</f>
        <v>641250</v>
      </c>
      <c r="K58" s="80">
        <f>Annexures!Q177</f>
        <v>1158750</v>
      </c>
      <c r="L58" s="83">
        <v>2180</v>
      </c>
      <c r="M58" s="84">
        <v>392.4</v>
      </c>
      <c r="N58" s="84">
        <v>0</v>
      </c>
      <c r="O58" s="81">
        <f t="shared" si="5"/>
        <v>2572.4</v>
      </c>
      <c r="P58" s="55" t="s">
        <v>10</v>
      </c>
      <c r="Q58" s="368" t="s">
        <v>88</v>
      </c>
      <c r="R58" s="301">
        <v>500000</v>
      </c>
      <c r="S58" s="23" t="s">
        <v>448</v>
      </c>
      <c r="T58" s="301"/>
    </row>
    <row r="59" spans="1:20" ht="31" x14ac:dyDescent="0.35">
      <c r="A59" s="3">
        <v>44</v>
      </c>
      <c r="B59" s="373">
        <v>6</v>
      </c>
      <c r="C59" s="82" t="s">
        <v>93</v>
      </c>
      <c r="D59" s="363">
        <v>1</v>
      </c>
      <c r="E59" s="363" t="s">
        <v>271</v>
      </c>
      <c r="F59" s="80">
        <v>1525078</v>
      </c>
      <c r="G59" s="80">
        <f>687227</f>
        <v>687227</v>
      </c>
      <c r="H59" s="80">
        <v>479883</v>
      </c>
      <c r="I59" s="80">
        <f>Annexures!O180</f>
        <v>1800000</v>
      </c>
      <c r="J59" s="80">
        <f>Annexures!P180</f>
        <v>641250</v>
      </c>
      <c r="K59" s="80">
        <f>Annexures!Q180</f>
        <v>1158750</v>
      </c>
      <c r="L59" s="83">
        <v>2013</v>
      </c>
      <c r="M59" s="84">
        <v>362.34</v>
      </c>
      <c r="N59" s="83">
        <v>0</v>
      </c>
      <c r="O59" s="81">
        <f t="shared" si="5"/>
        <v>2375.34</v>
      </c>
      <c r="P59" s="55" t="s">
        <v>10</v>
      </c>
      <c r="Q59" s="368" t="s">
        <v>88</v>
      </c>
      <c r="R59" s="301">
        <v>500000</v>
      </c>
      <c r="S59" s="23" t="s">
        <v>448</v>
      </c>
      <c r="T59" s="301"/>
    </row>
    <row r="60" spans="1:20" ht="31" x14ac:dyDescent="0.35">
      <c r="A60" s="3">
        <v>45</v>
      </c>
      <c r="B60" s="373">
        <v>7</v>
      </c>
      <c r="C60" s="82" t="s">
        <v>94</v>
      </c>
      <c r="D60" s="363"/>
      <c r="E60" s="363" t="s">
        <v>268</v>
      </c>
      <c r="F60" s="80">
        <v>176200000</v>
      </c>
      <c r="G60" s="80">
        <f>Annexures!D183</f>
        <v>183546150.33000001</v>
      </c>
      <c r="H60" s="80">
        <f>Annexures!M183</f>
        <v>89889354.329999998</v>
      </c>
      <c r="I60" s="80">
        <f>Annexures!O183</f>
        <v>183546150</v>
      </c>
      <c r="J60" s="80">
        <f>Annexures!P183</f>
        <v>76722290.700000003</v>
      </c>
      <c r="K60" s="80">
        <f>Annexures!Q183</f>
        <v>106823859.3</v>
      </c>
      <c r="L60" s="83">
        <v>81493</v>
      </c>
      <c r="M60" s="84">
        <f>L60*18/100</f>
        <v>14668.74</v>
      </c>
      <c r="N60" s="83">
        <v>0</v>
      </c>
      <c r="O60" s="81">
        <f t="shared" si="5"/>
        <v>96161.74</v>
      </c>
      <c r="P60" s="55" t="s">
        <v>19</v>
      </c>
      <c r="Q60" s="52" t="s">
        <v>18</v>
      </c>
      <c r="R60" s="281">
        <v>70000000</v>
      </c>
      <c r="S60" s="55" t="s">
        <v>449</v>
      </c>
      <c r="T60" s="301"/>
    </row>
    <row r="61" spans="1:20" ht="43.5" x14ac:dyDescent="0.35">
      <c r="A61" s="3">
        <v>46</v>
      </c>
      <c r="B61" s="373">
        <v>9</v>
      </c>
      <c r="C61" s="32" t="s">
        <v>96</v>
      </c>
      <c r="D61" s="79"/>
      <c r="E61" s="363" t="s">
        <v>268</v>
      </c>
      <c r="F61" s="80">
        <v>1750000</v>
      </c>
      <c r="G61" s="80">
        <f>Annexures!D189</f>
        <v>2731598</v>
      </c>
      <c r="H61" s="80">
        <f>Annexures!M189</f>
        <v>1725327</v>
      </c>
      <c r="I61" s="80">
        <f>Annexures!O189</f>
        <v>10000000</v>
      </c>
      <c r="J61" s="80">
        <f>Annexures!P189</f>
        <v>4750000</v>
      </c>
      <c r="K61" s="80">
        <f>Annexures!Q189</f>
        <v>5250000</v>
      </c>
      <c r="L61" s="83">
        <v>809</v>
      </c>
      <c r="M61" s="84">
        <f>L61*18/100</f>
        <v>145.62</v>
      </c>
      <c r="N61" s="83">
        <v>0</v>
      </c>
      <c r="O61" s="81">
        <f t="shared" si="5"/>
        <v>954.62</v>
      </c>
      <c r="P61" s="55" t="s">
        <v>19</v>
      </c>
      <c r="Q61" s="52" t="s">
        <v>18</v>
      </c>
      <c r="R61" s="281">
        <v>600000</v>
      </c>
      <c r="S61" s="23" t="s">
        <v>451</v>
      </c>
      <c r="T61" s="301"/>
    </row>
    <row r="62" spans="1:20" ht="43.5" x14ac:dyDescent="0.35">
      <c r="A62" s="55">
        <v>47</v>
      </c>
      <c r="B62" s="348">
        <v>10</v>
      </c>
      <c r="C62" s="347" t="s">
        <v>99</v>
      </c>
      <c r="D62" s="349"/>
      <c r="E62" s="349"/>
      <c r="F62" s="350">
        <v>40000000</v>
      </c>
      <c r="G62" s="80">
        <f>Annexures!D200</f>
        <v>6068816</v>
      </c>
      <c r="H62" s="80">
        <f>Annexures!M200</f>
        <v>32568951</v>
      </c>
      <c r="I62" s="80">
        <f>Annexures!O200</f>
        <v>68000000</v>
      </c>
      <c r="J62" s="80">
        <f>Annexures!P200</f>
        <v>19380000</v>
      </c>
      <c r="K62" s="80">
        <f>Annexures!Q200</f>
        <v>48620000</v>
      </c>
      <c r="L62" s="81">
        <v>18500</v>
      </c>
      <c r="M62" s="81">
        <f>L62*18/100</f>
        <v>3330</v>
      </c>
      <c r="N62" s="135">
        <v>0</v>
      </c>
      <c r="O62" s="81">
        <f t="shared" si="5"/>
        <v>21830</v>
      </c>
      <c r="P62" s="55" t="s">
        <v>19</v>
      </c>
      <c r="Q62" s="52" t="s">
        <v>18</v>
      </c>
      <c r="R62" s="281">
        <v>800000</v>
      </c>
      <c r="S62" s="23" t="s">
        <v>453</v>
      </c>
      <c r="T62" s="301"/>
    </row>
    <row r="63" spans="1:20" ht="72.5" x14ac:dyDescent="0.35">
      <c r="A63" s="55">
        <v>48</v>
      </c>
      <c r="B63" s="373">
        <v>11</v>
      </c>
      <c r="C63" s="32" t="s">
        <v>100</v>
      </c>
      <c r="D63" s="79"/>
      <c r="E63" s="79" t="s">
        <v>266</v>
      </c>
      <c r="F63" s="80">
        <v>12000000</v>
      </c>
      <c r="G63" s="80">
        <f>Annexures!D205</f>
        <v>20606536.079999998</v>
      </c>
      <c r="H63" s="80">
        <f>Annexures!M205</f>
        <v>11971068.08</v>
      </c>
      <c r="I63" s="80">
        <f>Annexures!O205</f>
        <v>30000000</v>
      </c>
      <c r="J63" s="80">
        <f>Annexures!P205</f>
        <v>11400000</v>
      </c>
      <c r="K63" s="80">
        <f>Annexures!Q205</f>
        <v>18600000</v>
      </c>
      <c r="L63" s="81">
        <v>5550</v>
      </c>
      <c r="M63" s="81">
        <f>L63*18/100</f>
        <v>999</v>
      </c>
      <c r="N63" s="135">
        <v>0</v>
      </c>
      <c r="O63" s="81">
        <f t="shared" si="5"/>
        <v>6549</v>
      </c>
      <c r="P63" s="55" t="s">
        <v>19</v>
      </c>
      <c r="Q63" s="52" t="s">
        <v>18</v>
      </c>
      <c r="R63" s="281">
        <v>10000000</v>
      </c>
      <c r="S63" s="23" t="s">
        <v>454</v>
      </c>
      <c r="T63" s="301"/>
    </row>
    <row r="64" spans="1:20" ht="72.5" x14ac:dyDescent="0.35">
      <c r="A64" s="55">
        <v>49</v>
      </c>
      <c r="B64" s="373">
        <v>12</v>
      </c>
      <c r="C64" s="32" t="s">
        <v>471</v>
      </c>
      <c r="D64" s="79"/>
      <c r="E64" s="79"/>
      <c r="F64" s="80">
        <v>2500000</v>
      </c>
      <c r="G64" s="80"/>
      <c r="H64" s="80"/>
      <c r="I64" s="80">
        <f>Annexures!O208</f>
        <v>1500000</v>
      </c>
      <c r="J64" s="80">
        <f>Annexures!P208</f>
        <v>570000</v>
      </c>
      <c r="K64" s="80">
        <f>Annexures!Q208</f>
        <v>930000</v>
      </c>
      <c r="L64" s="81">
        <v>1156</v>
      </c>
      <c r="M64" s="81">
        <f>L64*18/100</f>
        <v>208.08</v>
      </c>
      <c r="N64" s="135">
        <v>0</v>
      </c>
      <c r="O64" s="81">
        <f t="shared" si="5"/>
        <v>1364.08</v>
      </c>
      <c r="P64" s="55" t="s">
        <v>19</v>
      </c>
      <c r="Q64" s="52" t="s">
        <v>18</v>
      </c>
      <c r="R64" s="281">
        <v>500000</v>
      </c>
      <c r="S64" s="23" t="s">
        <v>455</v>
      </c>
      <c r="T64" s="301"/>
    </row>
    <row r="65" spans="1:20" ht="43.5" x14ac:dyDescent="0.35">
      <c r="A65" s="55">
        <v>50</v>
      </c>
      <c r="B65" s="373">
        <v>13</v>
      </c>
      <c r="C65" s="315" t="s">
        <v>456</v>
      </c>
      <c r="D65" s="287"/>
      <c r="E65" s="287"/>
      <c r="F65" s="273"/>
      <c r="G65" s="273">
        <v>9800000</v>
      </c>
      <c r="H65" s="273"/>
      <c r="I65" s="361">
        <v>9800000</v>
      </c>
      <c r="J65" s="361">
        <v>570000</v>
      </c>
      <c r="K65" s="361">
        <v>9489667</v>
      </c>
      <c r="L65" s="273"/>
      <c r="M65" s="273"/>
      <c r="N65" s="273"/>
      <c r="O65" s="289"/>
      <c r="P65" s="98"/>
      <c r="Q65" s="265"/>
      <c r="R65" s="316">
        <v>2500000</v>
      </c>
      <c r="S65" s="286" t="s">
        <v>457</v>
      </c>
    </row>
    <row r="66" spans="1:20" ht="43.5" x14ac:dyDescent="0.35">
      <c r="B66" s="373">
        <v>14</v>
      </c>
      <c r="C66" s="314" t="s">
        <v>458</v>
      </c>
      <c r="D66" s="373"/>
      <c r="E66" s="373"/>
      <c r="F66" s="58"/>
      <c r="G66" s="58">
        <v>5875000</v>
      </c>
      <c r="H66" s="58"/>
      <c r="I66" s="137">
        <v>7500000</v>
      </c>
      <c r="J66" s="137">
        <v>223250</v>
      </c>
      <c r="K66" s="137">
        <v>7262500</v>
      </c>
      <c r="L66" s="58"/>
      <c r="M66" s="58"/>
      <c r="N66" s="58"/>
      <c r="O66" s="57"/>
      <c r="P66" s="55"/>
      <c r="Q66" s="33"/>
      <c r="R66" s="281">
        <v>1500000</v>
      </c>
      <c r="S66" s="302" t="s">
        <v>459</v>
      </c>
    </row>
    <row r="67" spans="1:20" ht="87" x14ac:dyDescent="0.35">
      <c r="A67" s="55">
        <v>51</v>
      </c>
      <c r="B67" s="373">
        <v>15</v>
      </c>
      <c r="C67" s="314" t="s">
        <v>460</v>
      </c>
      <c r="D67" s="373"/>
      <c r="E67" s="373"/>
      <c r="F67" s="58"/>
      <c r="G67" s="58">
        <v>24600000</v>
      </c>
      <c r="H67" s="58"/>
      <c r="I67" s="137">
        <v>24600000</v>
      </c>
      <c r="J67" s="137">
        <f>I67-K67</f>
        <v>779000</v>
      </c>
      <c r="K67" s="137">
        <v>23821000</v>
      </c>
      <c r="L67" s="58"/>
      <c r="M67" s="58"/>
      <c r="N67" s="58"/>
      <c r="O67" s="57"/>
      <c r="P67" s="55"/>
      <c r="Q67" s="33"/>
      <c r="R67" s="281">
        <v>2500000</v>
      </c>
      <c r="S67" s="302" t="s">
        <v>461</v>
      </c>
    </row>
    <row r="68" spans="1:20" ht="43.5" x14ac:dyDescent="0.35">
      <c r="A68" s="55">
        <v>52</v>
      </c>
      <c r="B68" s="373">
        <v>16</v>
      </c>
      <c r="C68" s="82" t="s">
        <v>462</v>
      </c>
      <c r="D68" s="373"/>
      <c r="E68" s="373"/>
      <c r="F68" s="58"/>
      <c r="G68" s="58">
        <v>2800000</v>
      </c>
      <c r="H68" s="58"/>
      <c r="I68" s="137">
        <v>2800000</v>
      </c>
      <c r="J68" s="58">
        <v>177333</v>
      </c>
      <c r="K68" s="55">
        <v>2622667</v>
      </c>
      <c r="L68" s="58"/>
      <c r="M68" s="58"/>
      <c r="N68" s="58"/>
      <c r="O68" s="57"/>
      <c r="P68" s="55"/>
      <c r="Q68" s="33"/>
      <c r="R68" s="281">
        <v>750000</v>
      </c>
      <c r="S68" s="23" t="s">
        <v>463</v>
      </c>
    </row>
    <row r="69" spans="1:20" ht="15.5" x14ac:dyDescent="0.35">
      <c r="A69" s="98">
        <v>53</v>
      </c>
      <c r="B69" s="373"/>
      <c r="C69" s="317" t="s">
        <v>474</v>
      </c>
      <c r="D69" s="373"/>
      <c r="E69" s="373"/>
      <c r="F69" s="58">
        <f>F54+F55+F56+F57+F58+F59+F60+F61+F62+F63+F64+F65+F66+F67+F68</f>
        <v>421188140</v>
      </c>
      <c r="G69" s="58">
        <f>G54+G55+G56+G57+G58+G59+G60+G61+G62+G63+G64+G65+G66+G67+G68</f>
        <v>387047281.87</v>
      </c>
      <c r="H69" s="58">
        <f t="shared" ref="H69:R69" si="7">H54+H55+H56+H57+H58+H59+H60+H61+H62+H63+H64+H65+H66+H67+H68</f>
        <v>183314332.08000001</v>
      </c>
      <c r="I69" s="58">
        <f t="shared" si="7"/>
        <v>596346150</v>
      </c>
      <c r="J69" s="58">
        <f t="shared" si="7"/>
        <v>285073123.69999999</v>
      </c>
      <c r="K69" s="58">
        <f t="shared" si="7"/>
        <v>311518443.30000001</v>
      </c>
      <c r="L69" s="58">
        <f t="shared" si="7"/>
        <v>206531</v>
      </c>
      <c r="M69" s="58">
        <f t="shared" si="7"/>
        <v>37175.58</v>
      </c>
      <c r="N69" s="58">
        <f t="shared" si="7"/>
        <v>0</v>
      </c>
      <c r="O69" s="58">
        <f t="shared" si="7"/>
        <v>243706.58</v>
      </c>
      <c r="P69" s="58" t="e">
        <f t="shared" si="7"/>
        <v>#VALUE!</v>
      </c>
      <c r="Q69" s="58" t="e">
        <f t="shared" si="7"/>
        <v>#VALUE!</v>
      </c>
      <c r="R69" s="58">
        <f t="shared" si="7"/>
        <v>152243750</v>
      </c>
      <c r="S69" s="23"/>
    </row>
    <row r="70" spans="1:20" ht="15.5" x14ac:dyDescent="0.35">
      <c r="A70" s="98"/>
      <c r="B70" s="373"/>
      <c r="C70" s="317"/>
      <c r="D70" s="373"/>
      <c r="E70" s="373"/>
      <c r="F70" s="58"/>
      <c r="G70" s="58"/>
      <c r="H70" s="58"/>
      <c r="I70" s="58"/>
      <c r="J70" s="58"/>
      <c r="K70" s="55"/>
      <c r="L70" s="58"/>
      <c r="M70" s="58"/>
      <c r="N70" s="58"/>
      <c r="O70" s="57"/>
      <c r="P70" s="55"/>
      <c r="Q70" s="33"/>
      <c r="R70" s="281"/>
      <c r="S70" s="23"/>
    </row>
    <row r="71" spans="1:20" ht="19.5" x14ac:dyDescent="0.35">
      <c r="B71" s="133" t="s">
        <v>104</v>
      </c>
      <c r="C71" s="55"/>
      <c r="D71" s="79"/>
      <c r="E71" s="79"/>
      <c r="F71" s="80"/>
      <c r="G71" s="80"/>
      <c r="H71" s="80"/>
      <c r="I71" s="80"/>
      <c r="J71" s="80"/>
      <c r="K71" s="80"/>
      <c r="L71" s="53"/>
      <c r="M71" s="53"/>
      <c r="N71" s="53"/>
      <c r="O71" s="81"/>
      <c r="P71" s="55"/>
      <c r="Q71" s="52"/>
      <c r="R71" s="52"/>
      <c r="S71" s="52"/>
      <c r="T71" s="301"/>
    </row>
    <row r="72" spans="1:20" ht="15.5" x14ac:dyDescent="0.35">
      <c r="B72" s="132" t="s">
        <v>105</v>
      </c>
      <c r="C72" s="32"/>
      <c r="D72" s="79"/>
      <c r="E72" s="79"/>
      <c r="F72" s="80"/>
      <c r="G72" s="80"/>
      <c r="H72" s="80"/>
      <c r="I72" s="80"/>
      <c r="J72" s="80"/>
      <c r="K72" s="80"/>
      <c r="L72" s="53"/>
      <c r="M72" s="53"/>
      <c r="N72" s="53"/>
      <c r="O72" s="81"/>
      <c r="P72" s="55"/>
      <c r="Q72" s="52"/>
      <c r="R72" s="52"/>
      <c r="S72" s="52"/>
      <c r="T72" s="301"/>
    </row>
    <row r="73" spans="1:20" ht="29" x14ac:dyDescent="0.35">
      <c r="A73" s="55">
        <v>54</v>
      </c>
      <c r="B73" s="373">
        <v>1</v>
      </c>
      <c r="C73" s="82" t="s">
        <v>106</v>
      </c>
      <c r="D73" s="363">
        <v>3</v>
      </c>
      <c r="E73" s="363"/>
      <c r="F73" s="80">
        <f>977800+1955600</f>
        <v>2933400</v>
      </c>
      <c r="G73" s="80"/>
      <c r="H73" s="80"/>
      <c r="I73" s="80">
        <f>EDP!J7</f>
        <v>3840000</v>
      </c>
      <c r="J73" s="80">
        <f>EDP!K7</f>
        <v>3648000</v>
      </c>
      <c r="K73" s="80">
        <f>EDP!L7</f>
        <v>192000</v>
      </c>
      <c r="L73" s="81">
        <v>11147</v>
      </c>
      <c r="M73" s="81">
        <f t="shared" ref="M73:M85" si="8">L73*18%</f>
        <v>2006.46</v>
      </c>
      <c r="N73" s="135">
        <v>0</v>
      </c>
      <c r="O73" s="81">
        <f t="shared" si="5"/>
        <v>13153.46</v>
      </c>
      <c r="P73" s="55" t="s">
        <v>44</v>
      </c>
      <c r="Q73" s="368" t="s">
        <v>107</v>
      </c>
      <c r="R73" s="80">
        <f>I73*30%</f>
        <v>1152000</v>
      </c>
      <c r="S73" s="80" t="s">
        <v>465</v>
      </c>
      <c r="T73" s="80"/>
    </row>
    <row r="74" spans="1:20" ht="31" x14ac:dyDescent="0.35">
      <c r="A74" s="55">
        <v>55</v>
      </c>
      <c r="B74" s="373">
        <v>2</v>
      </c>
      <c r="C74" s="82" t="s">
        <v>108</v>
      </c>
      <c r="D74" s="363">
        <v>1</v>
      </c>
      <c r="E74" s="363"/>
      <c r="F74" s="80">
        <v>615000</v>
      </c>
      <c r="G74" s="80"/>
      <c r="H74" s="80"/>
      <c r="I74" s="80">
        <f>EDP!J8</f>
        <v>768000</v>
      </c>
      <c r="J74" s="80">
        <f>EDP!K8</f>
        <v>729600</v>
      </c>
      <c r="K74" s="80">
        <f>EDP!L8</f>
        <v>38400</v>
      </c>
      <c r="L74" s="81">
        <v>3075</v>
      </c>
      <c r="M74" s="81">
        <f t="shared" si="8"/>
        <v>553.5</v>
      </c>
      <c r="N74" s="81">
        <v>0</v>
      </c>
      <c r="O74" s="81">
        <f t="shared" si="5"/>
        <v>3628.5</v>
      </c>
      <c r="P74" s="55" t="s">
        <v>79</v>
      </c>
      <c r="Q74" s="368" t="s">
        <v>107</v>
      </c>
      <c r="R74" s="80">
        <f>I74*30%</f>
        <v>230400</v>
      </c>
      <c r="S74" s="80" t="s">
        <v>465</v>
      </c>
      <c r="T74" s="80"/>
    </row>
    <row r="75" spans="1:20" ht="29" x14ac:dyDescent="0.35">
      <c r="A75" s="55">
        <v>56</v>
      </c>
      <c r="B75" s="373">
        <v>3</v>
      </c>
      <c r="C75" s="82" t="s">
        <v>109</v>
      </c>
      <c r="D75" s="363">
        <v>1</v>
      </c>
      <c r="E75" s="363"/>
      <c r="F75" s="80">
        <v>626000</v>
      </c>
      <c r="G75" s="80"/>
      <c r="H75" s="80"/>
      <c r="I75" s="80">
        <f>EDP!J9</f>
        <v>768000</v>
      </c>
      <c r="J75" s="80">
        <f t="shared" ref="J75:J81" si="9">I75*0.95</f>
        <v>729600</v>
      </c>
      <c r="K75" s="80">
        <f>EDP!L9</f>
        <v>38400</v>
      </c>
      <c r="L75" s="81">
        <v>3130</v>
      </c>
      <c r="M75" s="81">
        <f t="shared" si="8"/>
        <v>563.4</v>
      </c>
      <c r="N75" s="81">
        <v>0</v>
      </c>
      <c r="O75" s="81">
        <f t="shared" si="5"/>
        <v>3693.4</v>
      </c>
      <c r="P75" s="55" t="s">
        <v>79</v>
      </c>
      <c r="Q75" s="368" t="s">
        <v>107</v>
      </c>
      <c r="R75" s="80">
        <f>I75*30%</f>
        <v>230400</v>
      </c>
      <c r="S75" s="80" t="s">
        <v>465</v>
      </c>
      <c r="T75" s="80"/>
    </row>
    <row r="76" spans="1:20" ht="29" x14ac:dyDescent="0.35">
      <c r="A76" s="55">
        <v>57</v>
      </c>
      <c r="B76" s="373">
        <v>4</v>
      </c>
      <c r="C76" s="82" t="s">
        <v>110</v>
      </c>
      <c r="D76" s="363">
        <v>1</v>
      </c>
      <c r="E76" s="363"/>
      <c r="F76" s="80">
        <v>1080542</v>
      </c>
      <c r="G76" s="80"/>
      <c r="H76" s="80"/>
      <c r="I76" s="80">
        <f>EDP!J10</f>
        <v>1800000</v>
      </c>
      <c r="J76" s="80">
        <f>EDP!K10</f>
        <v>1710000</v>
      </c>
      <c r="K76" s="80">
        <f>EDP!L10</f>
        <v>90000</v>
      </c>
      <c r="L76" s="81">
        <v>5403</v>
      </c>
      <c r="M76" s="81">
        <f t="shared" si="8"/>
        <v>972.54</v>
      </c>
      <c r="N76" s="81">
        <v>0</v>
      </c>
      <c r="O76" s="81">
        <f t="shared" si="5"/>
        <v>6375.54</v>
      </c>
      <c r="P76" s="55" t="s">
        <v>79</v>
      </c>
      <c r="Q76" s="368" t="s">
        <v>107</v>
      </c>
      <c r="R76" s="80">
        <f>I76*30%</f>
        <v>540000</v>
      </c>
      <c r="S76" s="80" t="s">
        <v>465</v>
      </c>
      <c r="T76" s="80"/>
    </row>
    <row r="77" spans="1:20" ht="29" x14ac:dyDescent="0.35">
      <c r="A77" s="55">
        <v>58</v>
      </c>
      <c r="B77" s="373">
        <v>5</v>
      </c>
      <c r="C77" s="82" t="s">
        <v>111</v>
      </c>
      <c r="D77" s="363">
        <v>4</v>
      </c>
      <c r="E77" s="363"/>
      <c r="F77" s="80">
        <f>930000+2790000</f>
        <v>3720000</v>
      </c>
      <c r="G77" s="80"/>
      <c r="H77" s="80"/>
      <c r="I77" s="80">
        <f>EDP!J11</f>
        <v>5400000</v>
      </c>
      <c r="J77" s="80">
        <f t="shared" si="9"/>
        <v>5130000</v>
      </c>
      <c r="K77" s="80">
        <f>EDP!L11</f>
        <v>270000</v>
      </c>
      <c r="L77" s="81">
        <v>10602</v>
      </c>
      <c r="M77" s="81">
        <f t="shared" si="8"/>
        <v>1908.36</v>
      </c>
      <c r="N77" s="135">
        <v>0</v>
      </c>
      <c r="O77" s="81">
        <f t="shared" si="5"/>
        <v>12510.36</v>
      </c>
      <c r="P77" s="55" t="s">
        <v>44</v>
      </c>
      <c r="Q77" s="368" t="s">
        <v>107</v>
      </c>
      <c r="R77" s="80">
        <f>K77*30%</f>
        <v>81000</v>
      </c>
      <c r="S77" s="80" t="s">
        <v>465</v>
      </c>
      <c r="T77" s="80"/>
    </row>
    <row r="78" spans="1:20" ht="31" x14ac:dyDescent="0.35">
      <c r="A78" s="55">
        <v>59</v>
      </c>
      <c r="B78" s="373">
        <v>6</v>
      </c>
      <c r="C78" s="82" t="s">
        <v>112</v>
      </c>
      <c r="D78" s="363">
        <v>1</v>
      </c>
      <c r="E78" s="363"/>
      <c r="F78" s="80">
        <v>1862000</v>
      </c>
      <c r="G78" s="80"/>
      <c r="H78" s="80"/>
      <c r="I78" s="80">
        <f>EDP!J12</f>
        <v>2380000</v>
      </c>
      <c r="J78" s="80">
        <f>EDP!K12</f>
        <v>2261000</v>
      </c>
      <c r="K78" s="80">
        <f>EDP!L12</f>
        <v>119000</v>
      </c>
      <c r="L78" s="81">
        <v>9310</v>
      </c>
      <c r="M78" s="81">
        <f t="shared" si="8"/>
        <v>1675.8</v>
      </c>
      <c r="N78" s="81">
        <v>0</v>
      </c>
      <c r="O78" s="81">
        <f t="shared" si="5"/>
        <v>10985.8</v>
      </c>
      <c r="P78" s="55" t="s">
        <v>79</v>
      </c>
      <c r="Q78" s="368" t="s">
        <v>107</v>
      </c>
      <c r="R78" s="80">
        <f>K78*30%</f>
        <v>35700</v>
      </c>
      <c r="S78" s="80" t="s">
        <v>465</v>
      </c>
      <c r="T78" s="80"/>
    </row>
    <row r="79" spans="1:20" ht="29" x14ac:dyDescent="0.35">
      <c r="A79" s="55">
        <v>60</v>
      </c>
      <c r="B79" s="373">
        <v>7</v>
      </c>
      <c r="C79" s="32" t="s">
        <v>113</v>
      </c>
      <c r="D79" s="79">
        <v>1</v>
      </c>
      <c r="E79" s="79"/>
      <c r="F79" s="80">
        <v>652000</v>
      </c>
      <c r="G79" s="80"/>
      <c r="H79" s="80"/>
      <c r="I79" s="80">
        <f>EDP!J13</f>
        <v>840000</v>
      </c>
      <c r="J79" s="80">
        <f>EDP!K13</f>
        <v>798000</v>
      </c>
      <c r="K79" s="80">
        <f>EDP!L13</f>
        <v>42000</v>
      </c>
      <c r="L79" s="81">
        <v>3260</v>
      </c>
      <c r="M79" s="81">
        <f t="shared" si="8"/>
        <v>586.79999999999995</v>
      </c>
      <c r="N79" s="81">
        <v>0</v>
      </c>
      <c r="O79" s="81">
        <f t="shared" si="5"/>
        <v>3846.8</v>
      </c>
      <c r="P79" s="55" t="s">
        <v>79</v>
      </c>
      <c r="Q79" s="368" t="s">
        <v>107</v>
      </c>
      <c r="R79" s="80">
        <f>K79*30%</f>
        <v>12600</v>
      </c>
      <c r="S79" s="80" t="s">
        <v>465</v>
      </c>
      <c r="T79" s="80"/>
    </row>
    <row r="80" spans="1:20" ht="29" x14ac:dyDescent="0.35">
      <c r="A80" s="55">
        <v>61</v>
      </c>
      <c r="B80" s="373">
        <v>8</v>
      </c>
      <c r="C80" s="365" t="s">
        <v>114</v>
      </c>
      <c r="D80" s="373">
        <v>2</v>
      </c>
      <c r="E80" s="373"/>
      <c r="F80" s="131">
        <v>255000</v>
      </c>
      <c r="G80" s="131"/>
      <c r="H80" s="131"/>
      <c r="I80" s="80">
        <f>EDP!J14</f>
        <v>350000</v>
      </c>
      <c r="J80" s="80">
        <f>EDP!K14</f>
        <v>332500</v>
      </c>
      <c r="K80" s="80">
        <f>EDP!L14</f>
        <v>17500</v>
      </c>
      <c r="L80" s="81">
        <v>1275</v>
      </c>
      <c r="M80" s="81">
        <f t="shared" si="8"/>
        <v>229.5</v>
      </c>
      <c r="N80" s="81">
        <v>0</v>
      </c>
      <c r="O80" s="81">
        <f t="shared" si="5"/>
        <v>1504.5</v>
      </c>
      <c r="P80" s="55" t="s">
        <v>79</v>
      </c>
      <c r="Q80" s="368" t="s">
        <v>107</v>
      </c>
      <c r="R80" s="80">
        <f>I80*30%</f>
        <v>105000</v>
      </c>
      <c r="S80" s="80" t="s">
        <v>465</v>
      </c>
      <c r="T80" s="80"/>
    </row>
    <row r="81" spans="1:22" ht="29" x14ac:dyDescent="0.35">
      <c r="A81" s="55">
        <v>62</v>
      </c>
      <c r="B81" s="373">
        <v>9</v>
      </c>
      <c r="C81" s="32" t="s">
        <v>115</v>
      </c>
      <c r="D81" s="79">
        <v>1</v>
      </c>
      <c r="E81" s="79"/>
      <c r="F81" s="80">
        <v>500000</v>
      </c>
      <c r="G81" s="80"/>
      <c r="H81" s="80"/>
      <c r="I81" s="80">
        <f>EDP!J15</f>
        <v>795000</v>
      </c>
      <c r="J81" s="80">
        <f t="shared" si="9"/>
        <v>755250</v>
      </c>
      <c r="K81" s="80">
        <f>EDP!L15</f>
        <v>190800</v>
      </c>
      <c r="L81" s="81">
        <v>2500</v>
      </c>
      <c r="M81" s="81">
        <f t="shared" si="8"/>
        <v>450</v>
      </c>
      <c r="N81" s="81">
        <v>0</v>
      </c>
      <c r="O81" s="81">
        <f t="shared" si="5"/>
        <v>2950</v>
      </c>
      <c r="P81" s="55" t="s">
        <v>79</v>
      </c>
      <c r="Q81" s="368" t="s">
        <v>107</v>
      </c>
      <c r="R81" s="80">
        <f t="shared" ref="R81:R90" si="10">I81*30%</f>
        <v>238500</v>
      </c>
      <c r="S81" s="80" t="s">
        <v>465</v>
      </c>
      <c r="T81" s="80"/>
    </row>
    <row r="82" spans="1:22" ht="29" x14ac:dyDescent="0.35">
      <c r="A82" s="55">
        <v>63</v>
      </c>
      <c r="B82" s="373">
        <v>10</v>
      </c>
      <c r="C82" s="32" t="s">
        <v>116</v>
      </c>
      <c r="D82" s="79">
        <v>1</v>
      </c>
      <c r="E82" s="79"/>
      <c r="F82" s="80">
        <v>175000</v>
      </c>
      <c r="G82" s="80"/>
      <c r="H82" s="80"/>
      <c r="I82" s="80">
        <f>EDP!J16</f>
        <v>250000</v>
      </c>
      <c r="J82" s="80">
        <f>EDP!K16</f>
        <v>237500</v>
      </c>
      <c r="K82" s="80">
        <f>I82-J82</f>
        <v>12500</v>
      </c>
      <c r="L82" s="81">
        <v>875</v>
      </c>
      <c r="M82" s="81">
        <f t="shared" si="8"/>
        <v>157.5</v>
      </c>
      <c r="N82" s="81">
        <v>0</v>
      </c>
      <c r="O82" s="81">
        <f t="shared" si="5"/>
        <v>1032.5</v>
      </c>
      <c r="P82" s="55" t="s">
        <v>79</v>
      </c>
      <c r="Q82" s="368" t="s">
        <v>107</v>
      </c>
      <c r="R82" s="80">
        <f t="shared" si="10"/>
        <v>75000</v>
      </c>
      <c r="S82" s="80" t="s">
        <v>465</v>
      </c>
      <c r="T82" s="80"/>
    </row>
    <row r="83" spans="1:22" ht="29" x14ac:dyDescent="0.35">
      <c r="A83" s="55">
        <v>64</v>
      </c>
      <c r="B83" s="373">
        <v>11</v>
      </c>
      <c r="C83" s="32" t="s">
        <v>117</v>
      </c>
      <c r="D83" s="79">
        <v>1</v>
      </c>
      <c r="E83" s="79"/>
      <c r="F83" s="80">
        <v>461000</v>
      </c>
      <c r="G83" s="80"/>
      <c r="H83" s="80"/>
      <c r="I83" s="80">
        <f>EDP!J17</f>
        <v>625000</v>
      </c>
      <c r="J83" s="80">
        <f>EDP!K17</f>
        <v>356250</v>
      </c>
      <c r="K83" s="80">
        <f>EDP!L17</f>
        <v>268750</v>
      </c>
      <c r="L83" s="81">
        <v>2305</v>
      </c>
      <c r="M83" s="81">
        <f t="shared" si="8"/>
        <v>414.9</v>
      </c>
      <c r="N83" s="81">
        <v>0</v>
      </c>
      <c r="O83" s="81">
        <f t="shared" si="5"/>
        <v>2719.9</v>
      </c>
      <c r="P83" s="55" t="s">
        <v>79</v>
      </c>
      <c r="Q83" s="368" t="s">
        <v>107</v>
      </c>
      <c r="R83" s="80">
        <f t="shared" si="10"/>
        <v>187500</v>
      </c>
      <c r="S83" s="80" t="s">
        <v>465</v>
      </c>
      <c r="T83" s="80"/>
    </row>
    <row r="84" spans="1:22" ht="29" x14ac:dyDescent="0.35">
      <c r="A84" s="55">
        <v>65</v>
      </c>
      <c r="B84" s="374">
        <v>12</v>
      </c>
      <c r="C84" s="32" t="s">
        <v>118</v>
      </c>
      <c r="D84" s="79">
        <v>1</v>
      </c>
      <c r="E84" s="79"/>
      <c r="F84" s="80">
        <v>1450000</v>
      </c>
      <c r="G84" s="80"/>
      <c r="H84" s="80"/>
      <c r="I84" s="80">
        <f>EDP!J18</f>
        <v>1500000</v>
      </c>
      <c r="J84" s="80">
        <f>EDP!K18</f>
        <v>1140000</v>
      </c>
      <c r="K84" s="80">
        <f>I84-J84</f>
        <v>360000</v>
      </c>
      <c r="L84" s="81">
        <v>7250</v>
      </c>
      <c r="M84" s="81">
        <f t="shared" si="8"/>
        <v>1305</v>
      </c>
      <c r="N84" s="81">
        <v>0</v>
      </c>
      <c r="O84" s="81">
        <f t="shared" si="5"/>
        <v>8555</v>
      </c>
      <c r="P84" s="55" t="s">
        <v>79</v>
      </c>
      <c r="Q84" s="368" t="s">
        <v>107</v>
      </c>
      <c r="R84" s="80">
        <f t="shared" si="10"/>
        <v>450000</v>
      </c>
      <c r="S84" s="80" t="s">
        <v>465</v>
      </c>
      <c r="T84" s="80"/>
      <c r="V84" s="80"/>
    </row>
    <row r="85" spans="1:22" ht="29" x14ac:dyDescent="0.35">
      <c r="A85" s="55">
        <v>66</v>
      </c>
      <c r="B85" s="373">
        <v>13</v>
      </c>
      <c r="C85" s="32" t="s">
        <v>119</v>
      </c>
      <c r="D85" s="79">
        <v>1</v>
      </c>
      <c r="E85" s="79"/>
      <c r="F85" s="80">
        <v>293810</v>
      </c>
      <c r="G85" s="80"/>
      <c r="H85" s="80"/>
      <c r="I85" s="80">
        <f>EDP!J19</f>
        <v>350000</v>
      </c>
      <c r="J85" s="80">
        <f>EDP!K19</f>
        <v>199500</v>
      </c>
      <c r="K85" s="80">
        <f>I85-J85</f>
        <v>150500</v>
      </c>
      <c r="L85" s="81">
        <v>1469</v>
      </c>
      <c r="M85" s="81">
        <f t="shared" si="8"/>
        <v>264.42</v>
      </c>
      <c r="N85" s="81">
        <v>0</v>
      </c>
      <c r="O85" s="81">
        <f t="shared" si="5"/>
        <v>1733.42</v>
      </c>
      <c r="P85" s="55" t="s">
        <v>79</v>
      </c>
      <c r="Q85" s="368" t="s">
        <v>107</v>
      </c>
      <c r="R85" s="80">
        <f t="shared" si="10"/>
        <v>105000</v>
      </c>
      <c r="S85" s="80" t="s">
        <v>465</v>
      </c>
      <c r="T85" s="80"/>
      <c r="V85" s="80"/>
    </row>
    <row r="86" spans="1:22" ht="29" x14ac:dyDescent="0.35">
      <c r="B86" s="318" t="s">
        <v>120</v>
      </c>
      <c r="C86" s="32"/>
      <c r="D86" s="79"/>
      <c r="E86" s="79"/>
      <c r="F86" s="80"/>
      <c r="G86" s="80"/>
      <c r="H86" s="80"/>
      <c r="I86" s="80">
        <v>350000</v>
      </c>
      <c r="J86" s="80">
        <f>EDP!K19</f>
        <v>199500</v>
      </c>
      <c r="K86" s="80">
        <f>EDP!L19</f>
        <v>150500</v>
      </c>
      <c r="L86" s="53"/>
      <c r="M86" s="53"/>
      <c r="N86" s="53"/>
      <c r="O86" s="81"/>
      <c r="P86" s="55"/>
      <c r="Q86" s="52"/>
      <c r="R86" s="80">
        <f t="shared" si="10"/>
        <v>105000</v>
      </c>
      <c r="S86" s="80" t="s">
        <v>465</v>
      </c>
      <c r="V86" s="80"/>
    </row>
    <row r="87" spans="1:22" ht="29" x14ac:dyDescent="0.35">
      <c r="A87" s="55">
        <v>67</v>
      </c>
      <c r="B87" s="373">
        <v>14</v>
      </c>
      <c r="C87" s="32" t="s">
        <v>121</v>
      </c>
      <c r="D87" s="79">
        <v>1</v>
      </c>
      <c r="E87" s="79"/>
      <c r="F87" s="80">
        <v>50000</v>
      </c>
      <c r="G87" s="80"/>
      <c r="H87" s="80"/>
      <c r="I87" s="80">
        <f>EDP!J21</f>
        <v>65000</v>
      </c>
      <c r="J87" s="80">
        <f>EDP!K21</f>
        <v>61750</v>
      </c>
      <c r="K87" s="80">
        <f>EDP!L21</f>
        <v>3250</v>
      </c>
      <c r="L87" s="81">
        <v>250</v>
      </c>
      <c r="M87" s="81">
        <f>L87*18%</f>
        <v>45</v>
      </c>
      <c r="N87" s="81">
        <v>0</v>
      </c>
      <c r="O87" s="81">
        <f t="shared" si="5"/>
        <v>295</v>
      </c>
      <c r="P87" s="55" t="s">
        <v>79</v>
      </c>
      <c r="Q87" s="368" t="s">
        <v>107</v>
      </c>
      <c r="R87" s="80">
        <f t="shared" si="10"/>
        <v>19500</v>
      </c>
      <c r="S87" s="80" t="s">
        <v>465</v>
      </c>
      <c r="T87" s="80"/>
      <c r="V87" s="80"/>
    </row>
    <row r="88" spans="1:22" ht="29" x14ac:dyDescent="0.35">
      <c r="A88" s="55">
        <v>68</v>
      </c>
      <c r="B88" s="373">
        <v>15</v>
      </c>
      <c r="C88" s="32" t="s">
        <v>122</v>
      </c>
      <c r="D88" s="79">
        <v>2</v>
      </c>
      <c r="E88" s="79"/>
      <c r="F88" s="80">
        <v>60000</v>
      </c>
      <c r="G88" s="80"/>
      <c r="H88" s="80"/>
      <c r="I88" s="80">
        <f>EDP!J22</f>
        <v>75000</v>
      </c>
      <c r="J88" s="80">
        <f>EDP!K22</f>
        <v>71250</v>
      </c>
      <c r="K88" s="80">
        <f>EDP!L22</f>
        <v>3750</v>
      </c>
      <c r="L88" s="81">
        <v>300</v>
      </c>
      <c r="M88" s="81">
        <f>L88*18%</f>
        <v>54</v>
      </c>
      <c r="N88" s="81">
        <v>0</v>
      </c>
      <c r="O88" s="81">
        <f t="shared" si="5"/>
        <v>354</v>
      </c>
      <c r="P88" s="55" t="s">
        <v>79</v>
      </c>
      <c r="Q88" s="368" t="s">
        <v>107</v>
      </c>
      <c r="R88" s="80">
        <f t="shared" si="10"/>
        <v>22500</v>
      </c>
      <c r="S88" s="80" t="s">
        <v>465</v>
      </c>
      <c r="T88" s="42"/>
      <c r="V88" s="80"/>
    </row>
    <row r="89" spans="1:22" ht="29" x14ac:dyDescent="0.35">
      <c r="A89" s="55">
        <v>69</v>
      </c>
      <c r="B89" s="373">
        <v>17</v>
      </c>
      <c r="C89" s="32" t="s">
        <v>124</v>
      </c>
      <c r="D89" s="79">
        <v>2</v>
      </c>
      <c r="E89" s="79"/>
      <c r="F89" s="80">
        <v>587000</v>
      </c>
      <c r="G89" s="80"/>
      <c r="H89" s="80"/>
      <c r="I89" s="80">
        <f>EDP!J24</f>
        <v>850000</v>
      </c>
      <c r="J89" s="80">
        <f>EDP!K24</f>
        <v>807500</v>
      </c>
      <c r="K89" s="80">
        <f>EDP!L24</f>
        <v>42500</v>
      </c>
      <c r="L89" s="81">
        <v>2935</v>
      </c>
      <c r="M89" s="81">
        <f>L89*18%</f>
        <v>528.29999999999995</v>
      </c>
      <c r="N89" s="81">
        <v>0</v>
      </c>
      <c r="O89" s="81">
        <f t="shared" si="5"/>
        <v>3463.3</v>
      </c>
      <c r="P89" s="55" t="s">
        <v>79</v>
      </c>
      <c r="Q89" s="368" t="s">
        <v>107</v>
      </c>
      <c r="R89" s="80">
        <f t="shared" si="10"/>
        <v>255000</v>
      </c>
      <c r="S89" s="80" t="s">
        <v>465</v>
      </c>
      <c r="T89" s="42"/>
    </row>
    <row r="90" spans="1:22" ht="29" x14ac:dyDescent="0.35">
      <c r="A90" s="55">
        <v>70</v>
      </c>
      <c r="B90" s="373">
        <v>20</v>
      </c>
      <c r="C90" s="32" t="s">
        <v>127</v>
      </c>
      <c r="D90" s="79">
        <v>4</v>
      </c>
      <c r="E90" s="79"/>
      <c r="F90" s="80">
        <v>3339000</v>
      </c>
      <c r="G90" s="80"/>
      <c r="H90" s="80"/>
      <c r="I90" s="80">
        <f>EDP!J27</f>
        <v>5000000</v>
      </c>
      <c r="J90" s="80">
        <f>EDP!K27</f>
        <v>4750000</v>
      </c>
      <c r="K90" s="80">
        <f>EDP!L27</f>
        <v>250000</v>
      </c>
      <c r="L90" s="81">
        <v>16695</v>
      </c>
      <c r="M90" s="81">
        <f>L90*18%</f>
        <v>3005.1</v>
      </c>
      <c r="N90" s="81">
        <v>0</v>
      </c>
      <c r="O90" s="81">
        <f t="shared" si="5"/>
        <v>19700.099999999999</v>
      </c>
      <c r="P90" s="55" t="s">
        <v>79</v>
      </c>
      <c r="Q90" s="368" t="s">
        <v>107</v>
      </c>
      <c r="R90" s="80">
        <f t="shared" si="10"/>
        <v>1500000</v>
      </c>
      <c r="S90" s="80" t="s">
        <v>465</v>
      </c>
      <c r="T90" s="42"/>
    </row>
    <row r="91" spans="1:22" ht="15.5" x14ac:dyDescent="0.35">
      <c r="B91" s="132" t="s">
        <v>129</v>
      </c>
      <c r="C91" s="33"/>
      <c r="D91" s="79"/>
      <c r="E91" s="79"/>
      <c r="F91" s="80"/>
      <c r="G91" s="80"/>
      <c r="H91" s="80"/>
      <c r="I91" s="80"/>
      <c r="J91" s="80"/>
      <c r="K91" s="80"/>
      <c r="L91" s="53"/>
      <c r="M91" s="53"/>
      <c r="N91" s="53"/>
      <c r="O91" s="81"/>
      <c r="P91" s="55"/>
      <c r="Q91" s="52"/>
      <c r="R91" s="263"/>
      <c r="S91" s="263"/>
      <c r="T91" s="42"/>
    </row>
    <row r="92" spans="1:22" ht="15.5" x14ac:dyDescent="0.35">
      <c r="A92" s="55">
        <v>71</v>
      </c>
      <c r="B92" s="373">
        <v>22</v>
      </c>
      <c r="C92" s="32" t="s">
        <v>130</v>
      </c>
      <c r="D92" s="79">
        <v>33</v>
      </c>
      <c r="E92" s="79"/>
      <c r="F92" s="80">
        <f>1178000+76000</f>
        <v>1254000</v>
      </c>
      <c r="G92" s="629">
        <f>Annexures!D232</f>
        <v>7803281.54</v>
      </c>
      <c r="H92" s="629">
        <f>Annexures!M232</f>
        <v>5213565.1900000004</v>
      </c>
      <c r="I92" s="629">
        <f>EDP!J30</f>
        <v>2000000</v>
      </c>
      <c r="J92" s="629">
        <f>EDP!K30</f>
        <v>1520000</v>
      </c>
      <c r="K92" s="629">
        <f>EDP!L30</f>
        <v>480000</v>
      </c>
      <c r="L92" s="81">
        <v>6270</v>
      </c>
      <c r="M92" s="81">
        <f>L92*18%</f>
        <v>1128.5999999999999</v>
      </c>
      <c r="N92" s="81">
        <v>0</v>
      </c>
      <c r="O92" s="81">
        <f t="shared" si="5"/>
        <v>7398.6</v>
      </c>
      <c r="P92" s="55" t="s">
        <v>79</v>
      </c>
      <c r="Q92" s="368" t="s">
        <v>107</v>
      </c>
      <c r="R92" s="666">
        <f>I92*30%</f>
        <v>600000</v>
      </c>
      <c r="S92" s="629" t="s">
        <v>465</v>
      </c>
      <c r="T92" s="42"/>
    </row>
    <row r="93" spans="1:22" ht="29" x14ac:dyDescent="0.35">
      <c r="A93" s="55">
        <v>72</v>
      </c>
      <c r="B93" s="373">
        <v>23</v>
      </c>
      <c r="C93" s="32" t="s">
        <v>131</v>
      </c>
      <c r="D93" s="79">
        <v>8</v>
      </c>
      <c r="E93" s="79"/>
      <c r="F93" s="80">
        <f>246000+82000</f>
        <v>328000</v>
      </c>
      <c r="G93" s="630"/>
      <c r="H93" s="630"/>
      <c r="I93" s="630"/>
      <c r="J93" s="630"/>
      <c r="K93" s="630"/>
      <c r="L93" s="81">
        <v>1640</v>
      </c>
      <c r="M93" s="81">
        <f>L93*18%</f>
        <v>295.2</v>
      </c>
      <c r="N93" s="81">
        <v>0</v>
      </c>
      <c r="O93" s="81">
        <f t="shared" si="5"/>
        <v>1935.2</v>
      </c>
      <c r="P93" s="55" t="s">
        <v>79</v>
      </c>
      <c r="Q93" s="368" t="s">
        <v>107</v>
      </c>
      <c r="R93" s="666"/>
      <c r="S93" s="630"/>
      <c r="T93" s="42"/>
    </row>
    <row r="94" spans="1:22" ht="29" x14ac:dyDescent="0.35">
      <c r="A94" s="55">
        <v>73</v>
      </c>
      <c r="B94" s="373">
        <v>24</v>
      </c>
      <c r="C94" s="33" t="s">
        <v>132</v>
      </c>
      <c r="D94" s="79">
        <v>1</v>
      </c>
      <c r="E94" s="79"/>
      <c r="F94" s="80">
        <v>30000</v>
      </c>
      <c r="G94" s="631"/>
      <c r="H94" s="631"/>
      <c r="I94" s="631"/>
      <c r="J94" s="631"/>
      <c r="K94" s="631"/>
      <c r="L94" s="81">
        <v>150</v>
      </c>
      <c r="M94" s="81">
        <f>L94*18%</f>
        <v>27</v>
      </c>
      <c r="N94" s="81">
        <v>0</v>
      </c>
      <c r="O94" s="81">
        <f t="shared" si="5"/>
        <v>177</v>
      </c>
      <c r="P94" s="55" t="s">
        <v>79</v>
      </c>
      <c r="Q94" s="368" t="s">
        <v>107</v>
      </c>
      <c r="R94" s="666"/>
      <c r="S94" s="631"/>
      <c r="T94" s="42"/>
    </row>
    <row r="95" spans="1:22" ht="15.5" x14ac:dyDescent="0.35">
      <c r="A95" s="55"/>
      <c r="B95" s="132" t="s">
        <v>133</v>
      </c>
      <c r="C95" s="33"/>
      <c r="D95" s="79"/>
      <c r="E95" s="79"/>
      <c r="F95" s="80"/>
      <c r="G95" s="80"/>
      <c r="H95" s="80"/>
      <c r="I95" s="80"/>
      <c r="J95" s="80"/>
      <c r="K95" s="80"/>
      <c r="L95" s="53"/>
      <c r="M95" s="53"/>
      <c r="N95" s="53"/>
      <c r="O95" s="81"/>
      <c r="P95" s="55"/>
      <c r="Q95" s="52"/>
      <c r="R95" s="263"/>
      <c r="S95" s="263"/>
      <c r="T95" s="42"/>
    </row>
    <row r="96" spans="1:22" ht="29" x14ac:dyDescent="0.35">
      <c r="A96" s="55">
        <v>74</v>
      </c>
      <c r="B96" s="373">
        <v>25</v>
      </c>
      <c r="C96" s="365" t="s">
        <v>134</v>
      </c>
      <c r="D96" s="373">
        <v>1</v>
      </c>
      <c r="E96" s="373"/>
      <c r="F96" s="131">
        <v>527000</v>
      </c>
      <c r="G96" s="131"/>
      <c r="H96" s="131"/>
      <c r="I96" s="131">
        <f>EDP!J34</f>
        <v>800000</v>
      </c>
      <c r="J96" s="131">
        <f>EDP!K34</f>
        <v>608000</v>
      </c>
      <c r="K96" s="131">
        <f>EDP!L34</f>
        <v>192000</v>
      </c>
      <c r="L96" s="81">
        <v>2635</v>
      </c>
      <c r="M96" s="81">
        <f>L96*18%</f>
        <v>474.29999999999995</v>
      </c>
      <c r="N96" s="81"/>
      <c r="O96" s="81">
        <f t="shared" si="5"/>
        <v>3109.3</v>
      </c>
      <c r="P96" s="55" t="s">
        <v>79</v>
      </c>
      <c r="Q96" s="368" t="s">
        <v>107</v>
      </c>
      <c r="R96" s="292">
        <f>I96*30%</f>
        <v>240000</v>
      </c>
      <c r="S96" s="80" t="s">
        <v>465</v>
      </c>
      <c r="T96" s="42"/>
    </row>
    <row r="97" spans="1:21" ht="15.5" x14ac:dyDescent="0.35">
      <c r="B97" s="132" t="s">
        <v>135</v>
      </c>
      <c r="C97" s="365"/>
      <c r="D97" s="373"/>
      <c r="E97" s="373"/>
      <c r="F97" s="131"/>
      <c r="G97" s="131"/>
      <c r="H97" s="131"/>
      <c r="I97" s="131"/>
      <c r="J97" s="131"/>
      <c r="K97" s="131"/>
      <c r="L97" s="53"/>
      <c r="M97" s="53"/>
      <c r="N97" s="53"/>
      <c r="O97" s="81"/>
      <c r="P97" s="55"/>
      <c r="Q97" s="52"/>
      <c r="R97" s="292"/>
      <c r="S97" s="263"/>
      <c r="T97" s="42"/>
    </row>
    <row r="98" spans="1:21" ht="29" x14ac:dyDescent="0.35">
      <c r="A98" s="55">
        <v>75</v>
      </c>
      <c r="B98" s="373">
        <v>26</v>
      </c>
      <c r="C98" s="32" t="s">
        <v>136</v>
      </c>
      <c r="D98" s="79">
        <v>2</v>
      </c>
      <c r="E98" s="79"/>
      <c r="F98" s="80">
        <v>95000</v>
      </c>
      <c r="G98" s="80"/>
      <c r="H98" s="80"/>
      <c r="I98" s="80">
        <f>EDP!J36</f>
        <v>108000</v>
      </c>
      <c r="J98" s="80">
        <f>EDP!K36</f>
        <v>102600</v>
      </c>
      <c r="K98" s="80">
        <f>EDP!L36</f>
        <v>5400</v>
      </c>
      <c r="L98" s="81">
        <v>475</v>
      </c>
      <c r="M98" s="81">
        <f>L98*18%</f>
        <v>85.5</v>
      </c>
      <c r="N98" s="81">
        <v>0</v>
      </c>
      <c r="O98" s="81">
        <f t="shared" si="5"/>
        <v>560.5</v>
      </c>
      <c r="P98" s="55" t="s">
        <v>79</v>
      </c>
      <c r="Q98" s="368" t="s">
        <v>107</v>
      </c>
      <c r="R98" s="292">
        <f t="shared" ref="R98:R107" si="11">I98*30%</f>
        <v>32400</v>
      </c>
      <c r="S98" s="80" t="s">
        <v>465</v>
      </c>
      <c r="T98" s="42"/>
    </row>
    <row r="99" spans="1:21" ht="29" x14ac:dyDescent="0.35">
      <c r="A99" s="55">
        <v>76</v>
      </c>
      <c r="B99" s="373">
        <v>27</v>
      </c>
      <c r="C99" s="32" t="s">
        <v>137</v>
      </c>
      <c r="D99" s="79">
        <v>3</v>
      </c>
      <c r="E99" s="79"/>
      <c r="F99" s="131">
        <v>108000</v>
      </c>
      <c r="G99" s="131"/>
      <c r="H99" s="131"/>
      <c r="I99" s="131">
        <f>EDP!J37</f>
        <v>135000</v>
      </c>
      <c r="J99" s="131">
        <f>EDP!K37</f>
        <v>128250</v>
      </c>
      <c r="K99" s="131">
        <f>EDP!L37</f>
        <v>6750</v>
      </c>
      <c r="L99" s="81">
        <v>540</v>
      </c>
      <c r="M99" s="81">
        <f>L99*18%</f>
        <v>97.2</v>
      </c>
      <c r="N99" s="81">
        <v>0</v>
      </c>
      <c r="O99" s="81">
        <f t="shared" si="5"/>
        <v>637.20000000000005</v>
      </c>
      <c r="P99" s="55" t="s">
        <v>79</v>
      </c>
      <c r="Q99" s="368" t="s">
        <v>107</v>
      </c>
      <c r="R99" s="292">
        <f t="shared" si="11"/>
        <v>40500</v>
      </c>
      <c r="S99" s="80" t="s">
        <v>465</v>
      </c>
      <c r="T99" s="42"/>
    </row>
    <row r="100" spans="1:21" ht="29" x14ac:dyDescent="0.35">
      <c r="A100" s="55">
        <v>77</v>
      </c>
      <c r="B100" s="373">
        <v>28</v>
      </c>
      <c r="C100" s="33" t="s">
        <v>138</v>
      </c>
      <c r="D100" s="79">
        <v>1</v>
      </c>
      <c r="E100" s="79"/>
      <c r="F100" s="80">
        <v>44800</v>
      </c>
      <c r="G100" s="80">
        <v>47500</v>
      </c>
      <c r="H100" s="80">
        <v>28492</v>
      </c>
      <c r="I100" s="80">
        <f>EDP!J38</f>
        <v>42000</v>
      </c>
      <c r="J100" s="80">
        <f>EDP!K38</f>
        <v>39900</v>
      </c>
      <c r="K100" s="80">
        <f>EDP!L38</f>
        <v>2100</v>
      </c>
      <c r="L100" s="81">
        <v>293</v>
      </c>
      <c r="M100" s="81">
        <f>L100*18/100</f>
        <v>52.74</v>
      </c>
      <c r="N100" s="135">
        <v>0</v>
      </c>
      <c r="O100" s="81">
        <f t="shared" ref="O100:O107" si="12">L100+M100+N100</f>
        <v>345.74</v>
      </c>
      <c r="P100" s="55" t="s">
        <v>19</v>
      </c>
      <c r="Q100" s="52" t="s">
        <v>107</v>
      </c>
      <c r="R100" s="292">
        <f t="shared" si="11"/>
        <v>12600</v>
      </c>
      <c r="S100" s="80" t="s">
        <v>465</v>
      </c>
      <c r="T100" s="42"/>
    </row>
    <row r="101" spans="1:21" ht="29" x14ac:dyDescent="0.35">
      <c r="A101" s="55">
        <v>78</v>
      </c>
      <c r="B101" s="373">
        <v>29</v>
      </c>
      <c r="C101" s="33" t="s">
        <v>139</v>
      </c>
      <c r="D101" s="79">
        <v>1</v>
      </c>
      <c r="E101" s="79"/>
      <c r="F101" s="80">
        <v>70000</v>
      </c>
      <c r="G101" s="80"/>
      <c r="H101" s="80"/>
      <c r="I101" s="80">
        <f>EDP!J39</f>
        <v>75000</v>
      </c>
      <c r="J101" s="80">
        <f>EDP!K39</f>
        <v>71250</v>
      </c>
      <c r="K101" s="80">
        <f>EDP!L39</f>
        <v>3750</v>
      </c>
      <c r="L101" s="81">
        <v>350</v>
      </c>
      <c r="M101" s="81">
        <f>L101*18%</f>
        <v>63</v>
      </c>
      <c r="N101" s="81">
        <v>0</v>
      </c>
      <c r="O101" s="81">
        <f t="shared" si="12"/>
        <v>413</v>
      </c>
      <c r="P101" s="55" t="s">
        <v>79</v>
      </c>
      <c r="Q101" s="368" t="s">
        <v>107</v>
      </c>
      <c r="R101" s="292">
        <f t="shared" si="11"/>
        <v>22500</v>
      </c>
      <c r="S101" s="80" t="s">
        <v>465</v>
      </c>
      <c r="T101" s="42"/>
    </row>
    <row r="102" spans="1:21" ht="29" x14ac:dyDescent="0.35">
      <c r="A102" s="55">
        <v>79</v>
      </c>
      <c r="B102" s="373">
        <v>30</v>
      </c>
      <c r="C102" s="33" t="s">
        <v>140</v>
      </c>
      <c r="D102" s="79">
        <v>1</v>
      </c>
      <c r="E102" s="79"/>
      <c r="F102" s="80">
        <v>41000</v>
      </c>
      <c r="G102" s="80"/>
      <c r="H102" s="80"/>
      <c r="I102" s="80">
        <f>EDP!J40</f>
        <v>39000</v>
      </c>
      <c r="J102" s="80">
        <f>EDP!K40</f>
        <v>24700</v>
      </c>
      <c r="K102" s="80">
        <f>EDP!L40</f>
        <v>14300</v>
      </c>
      <c r="L102" s="81">
        <v>205</v>
      </c>
      <c r="M102" s="81">
        <f>L102*18%</f>
        <v>36.9</v>
      </c>
      <c r="N102" s="81">
        <v>0</v>
      </c>
      <c r="O102" s="81">
        <f t="shared" si="12"/>
        <v>241.9</v>
      </c>
      <c r="P102" s="55" t="s">
        <v>79</v>
      </c>
      <c r="Q102" s="368" t="s">
        <v>107</v>
      </c>
      <c r="R102" s="292">
        <f t="shared" si="11"/>
        <v>11700</v>
      </c>
      <c r="S102" s="80" t="s">
        <v>465</v>
      </c>
      <c r="T102" s="42"/>
    </row>
    <row r="103" spans="1:21" ht="17" x14ac:dyDescent="0.35">
      <c r="B103" s="136" t="s">
        <v>141</v>
      </c>
      <c r="C103" s="55"/>
      <c r="D103" s="79"/>
      <c r="E103" s="79"/>
      <c r="F103" s="137"/>
      <c r="G103" s="137"/>
      <c r="H103" s="137"/>
      <c r="I103" s="137"/>
      <c r="J103" s="137"/>
      <c r="K103" s="137"/>
      <c r="L103" s="53"/>
      <c r="M103" s="53"/>
      <c r="N103" s="53"/>
      <c r="O103" s="81"/>
      <c r="P103" s="55"/>
      <c r="Q103" s="52"/>
      <c r="R103" s="263"/>
      <c r="S103" s="263"/>
      <c r="T103" s="42"/>
    </row>
    <row r="104" spans="1:21" ht="29" x14ac:dyDescent="0.35">
      <c r="A104" s="55">
        <v>80</v>
      </c>
      <c r="B104" s="373">
        <v>1</v>
      </c>
      <c r="C104" s="365" t="s">
        <v>142</v>
      </c>
      <c r="D104" s="373">
        <v>1</v>
      </c>
      <c r="E104" s="373"/>
      <c r="F104" s="131">
        <v>40000</v>
      </c>
      <c r="G104" s="131"/>
      <c r="H104" s="131"/>
      <c r="I104" s="131">
        <f>EDP!J42</f>
        <v>38000</v>
      </c>
      <c r="J104" s="131">
        <f>EDP!K42</f>
        <v>36100</v>
      </c>
      <c r="K104" s="131">
        <f>EDP!L42</f>
        <v>1900</v>
      </c>
      <c r="L104" s="81">
        <v>200</v>
      </c>
      <c r="M104" s="81">
        <f>L104*18%</f>
        <v>36</v>
      </c>
      <c r="N104" s="81">
        <v>0</v>
      </c>
      <c r="O104" s="81">
        <f t="shared" si="12"/>
        <v>236</v>
      </c>
      <c r="P104" s="55" t="s">
        <v>79</v>
      </c>
      <c r="Q104" s="368" t="s">
        <v>107</v>
      </c>
      <c r="R104" s="292">
        <f t="shared" si="11"/>
        <v>11400</v>
      </c>
      <c r="S104" s="14" t="s">
        <v>465</v>
      </c>
      <c r="T104" s="42"/>
    </row>
    <row r="105" spans="1:21" ht="29" x14ac:dyDescent="0.35">
      <c r="A105" s="55">
        <v>81</v>
      </c>
      <c r="B105" s="373">
        <v>2</v>
      </c>
      <c r="C105" s="32" t="s">
        <v>143</v>
      </c>
      <c r="D105" s="79">
        <v>1</v>
      </c>
      <c r="E105" s="79"/>
      <c r="F105" s="131">
        <v>45000</v>
      </c>
      <c r="G105" s="131"/>
      <c r="H105" s="131"/>
      <c r="I105" s="131">
        <f>EDP!J43</f>
        <v>42500</v>
      </c>
      <c r="J105" s="131">
        <f>EDP!K43</f>
        <v>40375</v>
      </c>
      <c r="K105" s="131">
        <f>EDP!L43</f>
        <v>2125</v>
      </c>
      <c r="L105" s="81">
        <v>225</v>
      </c>
      <c r="M105" s="81">
        <f>L105*18%</f>
        <v>40.5</v>
      </c>
      <c r="N105" s="81">
        <v>0</v>
      </c>
      <c r="O105" s="81">
        <f t="shared" si="12"/>
        <v>265.5</v>
      </c>
      <c r="P105" s="55" t="s">
        <v>79</v>
      </c>
      <c r="Q105" s="368" t="s">
        <v>107</v>
      </c>
      <c r="R105" s="292">
        <f t="shared" si="11"/>
        <v>12750</v>
      </c>
      <c r="S105" s="80" t="s">
        <v>465</v>
      </c>
      <c r="T105" s="42"/>
    </row>
    <row r="106" spans="1:21" ht="29" x14ac:dyDescent="0.35">
      <c r="A106" s="55">
        <v>82</v>
      </c>
      <c r="B106" s="373">
        <v>3</v>
      </c>
      <c r="C106" s="365" t="s">
        <v>144</v>
      </c>
      <c r="D106" s="373">
        <v>1</v>
      </c>
      <c r="E106" s="373"/>
      <c r="F106" s="131">
        <v>40000</v>
      </c>
      <c r="G106" s="131"/>
      <c r="H106" s="131"/>
      <c r="I106" s="131">
        <f>EDP!J44</f>
        <v>47000</v>
      </c>
      <c r="J106" s="131">
        <f>EDP!K44</f>
        <v>29766.666666666668</v>
      </c>
      <c r="K106" s="131">
        <f>EDP!L44</f>
        <v>17233.333333333332</v>
      </c>
      <c r="L106" s="81">
        <v>200</v>
      </c>
      <c r="M106" s="81">
        <f>L106*18%</f>
        <v>36</v>
      </c>
      <c r="N106" s="81">
        <v>0</v>
      </c>
      <c r="O106" s="81">
        <f t="shared" si="12"/>
        <v>236</v>
      </c>
      <c r="P106" s="55" t="s">
        <v>79</v>
      </c>
      <c r="Q106" s="368" t="s">
        <v>107</v>
      </c>
      <c r="R106" s="292">
        <f t="shared" si="11"/>
        <v>14100</v>
      </c>
      <c r="S106" s="80" t="s">
        <v>465</v>
      </c>
      <c r="T106" s="42"/>
    </row>
    <row r="107" spans="1:21" ht="29" x14ac:dyDescent="0.35">
      <c r="A107" s="3">
        <v>83</v>
      </c>
      <c r="B107" s="373">
        <v>4</v>
      </c>
      <c r="C107" s="365" t="s">
        <v>145</v>
      </c>
      <c r="D107" s="373">
        <v>1</v>
      </c>
      <c r="E107" s="373"/>
      <c r="F107" s="131">
        <v>36000</v>
      </c>
      <c r="G107" s="131"/>
      <c r="H107" s="131"/>
      <c r="I107" s="131">
        <f>EDP!J45</f>
        <v>36000</v>
      </c>
      <c r="J107" s="131">
        <f>EDP!K45</f>
        <v>34200</v>
      </c>
      <c r="K107" s="131">
        <f>EDP!L45</f>
        <v>1800</v>
      </c>
      <c r="L107" s="81">
        <v>180</v>
      </c>
      <c r="M107" s="81">
        <f>L107*18%</f>
        <v>32.4</v>
      </c>
      <c r="N107" s="81">
        <v>0</v>
      </c>
      <c r="O107" s="81">
        <f t="shared" si="12"/>
        <v>212.4</v>
      </c>
      <c r="P107" s="55" t="s">
        <v>79</v>
      </c>
      <c r="Q107" s="368" t="s">
        <v>107</v>
      </c>
      <c r="R107" s="292">
        <f t="shared" si="11"/>
        <v>10800</v>
      </c>
      <c r="S107" s="293" t="s">
        <v>465</v>
      </c>
      <c r="T107" s="42"/>
    </row>
    <row r="108" spans="1:21" ht="15.5" x14ac:dyDescent="0.35">
      <c r="A108" s="3">
        <v>84</v>
      </c>
      <c r="B108" s="373">
        <v>5</v>
      </c>
      <c r="C108" s="365" t="s">
        <v>437</v>
      </c>
      <c r="D108" s="373">
        <v>1</v>
      </c>
      <c r="E108" s="373"/>
      <c r="F108" s="131"/>
      <c r="G108" s="80">
        <f>[1]Sheet2!$F$38</f>
        <v>127800</v>
      </c>
      <c r="H108" s="131"/>
      <c r="I108" s="80">
        <f>EDP!J46</f>
        <v>127800</v>
      </c>
      <c r="J108" s="306">
        <f>EDP!K46</f>
        <v>0</v>
      </c>
      <c r="K108" s="271">
        <f>EDP!L46</f>
        <v>127800</v>
      </c>
      <c r="L108" s="80">
        <f>J108-K108</f>
        <v>-127800</v>
      </c>
      <c r="M108" s="81"/>
      <c r="N108" s="81"/>
      <c r="O108" s="81"/>
      <c r="P108" s="81"/>
      <c r="Q108" s="55"/>
      <c r="R108" s="280">
        <f>I108*30%</f>
        <v>38340</v>
      </c>
      <c r="S108" s="42"/>
      <c r="T108" s="42"/>
    </row>
    <row r="109" spans="1:21" x14ac:dyDescent="0.35">
      <c r="A109" s="98">
        <v>85</v>
      </c>
      <c r="B109" s="373"/>
      <c r="C109" s="134" t="s">
        <v>475</v>
      </c>
      <c r="D109" s="373"/>
      <c r="E109" s="373"/>
      <c r="F109" s="278">
        <f>F108+F107+F106+F105+F104+F102+F101+F100+F99+F98+F96+F94+F93+F92+F90+F89+F88+F87+F85+F84+F83+F82+F81+F80+F79+F78+F77+F76+F75+F74+F73</f>
        <v>21318552</v>
      </c>
      <c r="G109" s="278">
        <f t="shared" ref="G109:R109" si="13">G108+G107+G106+G105+G104+G102+G101+G100+G99+G98+G96+G94+G93+G92+G90+G89+G88+G87+G85+G84+G83+G82+G81+G80+G79+G78+G77+G76+G75+G74+G73</f>
        <v>7978581.54</v>
      </c>
      <c r="H109" s="278">
        <f t="shared" si="13"/>
        <v>5242057.1900000004</v>
      </c>
      <c r="I109" s="278">
        <f t="shared" si="13"/>
        <v>29146300</v>
      </c>
      <c r="J109" s="278">
        <f t="shared" si="13"/>
        <v>26352841.666666668</v>
      </c>
      <c r="K109" s="278">
        <f t="shared" si="13"/>
        <v>2944508.3333333335</v>
      </c>
      <c r="L109" s="278">
        <f t="shared" si="13"/>
        <v>-32656</v>
      </c>
      <c r="M109" s="278">
        <f t="shared" si="13"/>
        <v>17125.920000000002</v>
      </c>
      <c r="N109" s="278">
        <f t="shared" si="13"/>
        <v>0</v>
      </c>
      <c r="O109" s="278">
        <f t="shared" si="13"/>
        <v>112269.91999999998</v>
      </c>
      <c r="P109" s="278" t="e">
        <f t="shared" si="13"/>
        <v>#VALUE!</v>
      </c>
      <c r="Q109" s="278" t="e">
        <f t="shared" si="13"/>
        <v>#VALUE!</v>
      </c>
      <c r="R109" s="278">
        <f t="shared" si="13"/>
        <v>6287190</v>
      </c>
      <c r="S109" s="42"/>
      <c r="T109" s="42"/>
    </row>
    <row r="110" spans="1:21" ht="15.5" x14ac:dyDescent="0.35">
      <c r="A110" s="98"/>
      <c r="B110" s="373"/>
      <c r="C110" s="365"/>
      <c r="D110" s="373"/>
      <c r="E110" s="373"/>
      <c r="F110" s="131"/>
      <c r="G110" s="80"/>
      <c r="H110" s="131"/>
      <c r="I110" s="80"/>
      <c r="J110" s="306"/>
      <c r="K110" s="271"/>
      <c r="L110" s="80"/>
      <c r="M110" s="81"/>
      <c r="N110" s="81"/>
      <c r="O110" s="81"/>
      <c r="P110" s="81"/>
      <c r="Q110" s="55"/>
      <c r="R110" s="280"/>
      <c r="S110" s="42"/>
      <c r="T110" s="42"/>
    </row>
    <row r="111" spans="1:21" ht="19.5" x14ac:dyDescent="0.35">
      <c r="B111" s="133" t="s">
        <v>159</v>
      </c>
      <c r="C111" s="33"/>
      <c r="D111" s="373"/>
      <c r="E111" s="373"/>
      <c r="F111" s="53"/>
      <c r="G111" s="53"/>
      <c r="H111" s="53"/>
      <c r="I111" s="53"/>
      <c r="J111" s="53"/>
      <c r="K111" s="53"/>
      <c r="L111" s="53"/>
      <c r="M111" s="53"/>
      <c r="N111" s="53"/>
      <c r="O111" s="54"/>
      <c r="P111" s="55"/>
      <c r="Q111" s="33"/>
      <c r="R111" s="33"/>
      <c r="S111" s="33"/>
    </row>
    <row r="112" spans="1:21" ht="43.5" x14ac:dyDescent="0.35">
      <c r="A112" s="55">
        <v>86</v>
      </c>
      <c r="B112" s="373">
        <v>1</v>
      </c>
      <c r="C112" s="33" t="s">
        <v>152</v>
      </c>
      <c r="D112" s="373"/>
      <c r="E112" s="373"/>
      <c r="F112" s="137">
        <v>700000000</v>
      </c>
      <c r="G112" s="137"/>
      <c r="H112" s="137"/>
      <c r="I112" s="137">
        <v>800000000</v>
      </c>
      <c r="J112" s="306">
        <v>0</v>
      </c>
      <c r="K112" s="37">
        <v>800000000</v>
      </c>
      <c r="L112" s="140">
        <v>148723</v>
      </c>
      <c r="M112" s="140">
        <v>26770</v>
      </c>
      <c r="N112" s="55">
        <v>0</v>
      </c>
      <c r="O112" s="364">
        <f>+L112+M112+N112</f>
        <v>175493</v>
      </c>
      <c r="P112" s="55" t="s">
        <v>44</v>
      </c>
      <c r="Q112" s="32" t="s">
        <v>151</v>
      </c>
      <c r="R112" s="137">
        <v>800000000</v>
      </c>
      <c r="S112" s="32" t="s">
        <v>464</v>
      </c>
      <c r="T112" s="3">
        <v>800000000</v>
      </c>
      <c r="U112" s="3" t="s">
        <v>410</v>
      </c>
    </row>
    <row r="113" spans="2:20" x14ac:dyDescent="0.35">
      <c r="B113" s="373"/>
      <c r="C113" s="141"/>
      <c r="D113" s="373"/>
      <c r="E113" s="373"/>
      <c r="F113" s="131"/>
      <c r="G113" s="131"/>
      <c r="H113" s="131"/>
      <c r="I113" s="131"/>
      <c r="J113" s="131"/>
      <c r="K113" s="131"/>
      <c r="L113" s="53">
        <v>0</v>
      </c>
      <c r="M113" s="53">
        <v>0</v>
      </c>
      <c r="N113" s="53">
        <v>0</v>
      </c>
      <c r="O113" s="53">
        <v>0</v>
      </c>
      <c r="P113" s="55"/>
      <c r="Q113" s="56"/>
      <c r="R113" s="58"/>
      <c r="S113" s="266"/>
    </row>
    <row r="114" spans="2:20" ht="15.5" x14ac:dyDescent="0.35">
      <c r="B114" s="373"/>
      <c r="C114" s="372" t="s">
        <v>467</v>
      </c>
      <c r="D114" s="373"/>
      <c r="E114" s="373"/>
      <c r="F114" s="58">
        <f>F112</f>
        <v>700000000</v>
      </c>
      <c r="G114" s="58"/>
      <c r="H114" s="58"/>
      <c r="I114" s="58">
        <f>I112</f>
        <v>800000000</v>
      </c>
      <c r="J114" s="58"/>
      <c r="K114" s="58">
        <f>K112</f>
        <v>800000000</v>
      </c>
      <c r="L114" s="57">
        <f ca="1">SUM(L5:L112)</f>
        <v>4744979</v>
      </c>
      <c r="M114" s="57">
        <f ca="1">SUM(M5:M112)</f>
        <v>900104.96000000008</v>
      </c>
      <c r="N114" s="57">
        <f ca="1">SUM(N5:N112)</f>
        <v>113710</v>
      </c>
      <c r="O114" s="57">
        <f ca="1">SUM(O5:O112)</f>
        <v>6014393.9600000009</v>
      </c>
      <c r="P114" s="55"/>
      <c r="Q114" s="33"/>
      <c r="R114" s="58">
        <f>R112</f>
        <v>800000000</v>
      </c>
      <c r="S114" s="265"/>
    </row>
    <row r="116" spans="2:20" ht="23.5" x14ac:dyDescent="0.35">
      <c r="C116" s="353" t="s">
        <v>479</v>
      </c>
      <c r="D116" s="354"/>
      <c r="E116" s="354"/>
      <c r="F116" s="356">
        <f>F114+F109+F69+F50+F16</f>
        <v>2892660805</v>
      </c>
      <c r="G116" s="355"/>
      <c r="H116" s="355"/>
      <c r="I116" s="356">
        <f>I114+I109+I69+I50+I16</f>
        <v>8423665374.1999998</v>
      </c>
      <c r="J116" s="356">
        <f t="shared" ref="J116:R116" si="14">J114+J109+J69+J50+J16</f>
        <v>2911897291.6085672</v>
      </c>
      <c r="K116" s="356">
        <f t="shared" si="14"/>
        <v>5117674670.5914335</v>
      </c>
      <c r="L116" s="356">
        <f t="shared" ca="1" si="14"/>
        <v>7043107</v>
      </c>
      <c r="M116" s="356">
        <f t="shared" ca="1" si="14"/>
        <v>1336772.4400000002</v>
      </c>
      <c r="N116" s="356">
        <f t="shared" ca="1" si="14"/>
        <v>170565</v>
      </c>
      <c r="O116" s="356">
        <f t="shared" ca="1" si="14"/>
        <v>8933844.4400000013</v>
      </c>
      <c r="P116" s="356" t="e">
        <f t="shared" ca="1" si="14"/>
        <v>#VALUE!</v>
      </c>
      <c r="Q116" s="356" t="e">
        <f t="shared" ca="1" si="14"/>
        <v>#VALUE!</v>
      </c>
      <c r="R116" s="356">
        <f t="shared" si="14"/>
        <v>3951146298.1999998</v>
      </c>
      <c r="S116" s="351"/>
    </row>
    <row r="117" spans="2:20" ht="21" x14ac:dyDescent="0.35">
      <c r="C117" s="352" t="s">
        <v>480</v>
      </c>
      <c r="I117" s="282"/>
      <c r="J117" s="282"/>
      <c r="K117" s="282"/>
      <c r="L117" s="282"/>
      <c r="M117" s="282"/>
      <c r="N117" s="282"/>
      <c r="O117" s="282"/>
      <c r="P117" s="282"/>
      <c r="Q117" s="282"/>
      <c r="R117" s="356">
        <f>R116*15%</f>
        <v>592671944.7299999</v>
      </c>
      <c r="S117" s="383">
        <f>R116*10%</f>
        <v>395114629.81999999</v>
      </c>
    </row>
    <row r="118" spans="2:20" ht="21" x14ac:dyDescent="0.35">
      <c r="C118" s="352" t="s">
        <v>481</v>
      </c>
      <c r="I118" s="282"/>
      <c r="J118" s="282"/>
      <c r="K118" s="282"/>
      <c r="L118" s="282"/>
      <c r="M118" s="282"/>
      <c r="N118" s="282"/>
      <c r="O118" s="282"/>
      <c r="P118" s="282"/>
      <c r="Q118" s="282"/>
      <c r="R118" s="357">
        <f>R117*2%</f>
        <v>11853438.894599998</v>
      </c>
      <c r="S118" s="383">
        <f>S117*2%</f>
        <v>7902292.5964000002</v>
      </c>
    </row>
    <row r="119" spans="2:20" ht="21" x14ac:dyDescent="0.35">
      <c r="C119" s="352"/>
      <c r="I119" s="282"/>
      <c r="J119" s="282"/>
      <c r="K119" s="282"/>
      <c r="L119" s="282"/>
      <c r="M119" s="282"/>
      <c r="N119" s="282"/>
      <c r="O119" s="282"/>
      <c r="P119" s="282"/>
      <c r="Q119" s="282"/>
      <c r="R119" s="357">
        <v>280000000</v>
      </c>
      <c r="S119" s="383"/>
    </row>
    <row r="120" spans="2:20" ht="21" x14ac:dyDescent="0.35">
      <c r="B120" s="37">
        <v>1</v>
      </c>
      <c r="C120" s="352" t="s">
        <v>496</v>
      </c>
      <c r="I120" s="282"/>
      <c r="J120" s="282"/>
      <c r="K120" s="3" t="s">
        <v>494</v>
      </c>
      <c r="L120" s="282"/>
      <c r="M120" s="282"/>
      <c r="N120" s="282"/>
      <c r="O120" s="282"/>
      <c r="P120" s="282"/>
      <c r="Q120" s="282"/>
      <c r="R120" s="357"/>
      <c r="S120" s="3"/>
    </row>
    <row r="121" spans="2:20" x14ac:dyDescent="0.35">
      <c r="B121" s="3">
        <v>2</v>
      </c>
      <c r="C121" s="3" t="s">
        <v>488</v>
      </c>
      <c r="D121" s="3"/>
      <c r="E121" s="3"/>
      <c r="F121" s="3"/>
      <c r="G121" s="3"/>
      <c r="H121" s="3"/>
      <c r="I121" s="3"/>
      <c r="J121" s="3"/>
      <c r="K121" s="3" t="s">
        <v>494</v>
      </c>
      <c r="L121" s="3"/>
      <c r="M121" s="3"/>
      <c r="N121" s="3"/>
      <c r="O121" s="3"/>
      <c r="Q121" s="3"/>
      <c r="R121" s="3"/>
      <c r="S121" s="340">
        <v>5600000</v>
      </c>
    </row>
    <row r="122" spans="2:20" x14ac:dyDescent="0.35">
      <c r="B122" s="3"/>
      <c r="C122" s="3" t="s">
        <v>489</v>
      </c>
      <c r="D122" s="3"/>
      <c r="E122" s="3"/>
      <c r="F122" s="3"/>
      <c r="G122" s="3"/>
      <c r="H122" s="3"/>
      <c r="I122" s="3"/>
      <c r="J122" s="3"/>
      <c r="K122" s="3" t="s">
        <v>494</v>
      </c>
      <c r="L122" s="3"/>
      <c r="M122" s="3"/>
      <c r="N122" s="3"/>
      <c r="O122" s="3"/>
      <c r="Q122" s="3"/>
      <c r="R122" s="3">
        <v>20000000</v>
      </c>
      <c r="S122" s="3">
        <f>R122*2%</f>
        <v>400000</v>
      </c>
    </row>
    <row r="123" spans="2:20" x14ac:dyDescent="0.35">
      <c r="B123" s="3"/>
      <c r="C123" s="3" t="s">
        <v>490</v>
      </c>
      <c r="D123" s="3"/>
      <c r="E123" s="3"/>
      <c r="F123" s="3"/>
      <c r="G123" s="3"/>
      <c r="H123" s="3"/>
      <c r="I123" s="3"/>
      <c r="J123" s="3"/>
      <c r="K123" s="3"/>
      <c r="L123" s="3"/>
      <c r="M123" s="3"/>
      <c r="N123" s="3"/>
      <c r="O123" s="3"/>
      <c r="Q123" s="3"/>
      <c r="R123" s="3">
        <v>0</v>
      </c>
      <c r="S123" s="3"/>
    </row>
    <row r="124" spans="2:20" x14ac:dyDescent="0.35">
      <c r="B124" s="3">
        <v>3</v>
      </c>
      <c r="C124" s="3" t="s">
        <v>491</v>
      </c>
      <c r="D124" s="3"/>
      <c r="E124" s="3"/>
      <c r="F124" s="3"/>
      <c r="G124" s="3"/>
      <c r="H124" s="3"/>
      <c r="I124" s="3" t="s">
        <v>493</v>
      </c>
      <c r="J124" s="3"/>
      <c r="K124" s="3" t="s">
        <v>495</v>
      </c>
      <c r="L124" s="3"/>
      <c r="M124" s="3"/>
      <c r="N124" s="3"/>
      <c r="O124" s="3"/>
      <c r="Q124" s="3"/>
      <c r="R124" s="3">
        <v>200000000</v>
      </c>
      <c r="S124" s="3">
        <f>R124*0.5%</f>
        <v>1000000</v>
      </c>
    </row>
    <row r="125" spans="2:20" x14ac:dyDescent="0.35">
      <c r="B125" s="3">
        <v>4</v>
      </c>
      <c r="C125" s="3" t="s">
        <v>497</v>
      </c>
      <c r="D125" s="3"/>
      <c r="E125" s="3"/>
      <c r="F125" s="3"/>
      <c r="G125" s="3"/>
      <c r="H125" s="3"/>
      <c r="I125" s="3"/>
      <c r="J125" s="3"/>
      <c r="K125" s="3" t="s">
        <v>495</v>
      </c>
      <c r="L125" s="3"/>
      <c r="M125" s="3"/>
      <c r="N125" s="3"/>
      <c r="O125" s="3"/>
      <c r="Q125" s="3"/>
      <c r="R125" s="3">
        <v>87000000</v>
      </c>
      <c r="S125" s="3">
        <f>R125*0.5%</f>
        <v>435000</v>
      </c>
    </row>
    <row r="126" spans="2:20" ht="29.25" customHeight="1" x14ac:dyDescent="0.35">
      <c r="B126" s="3"/>
      <c r="C126" s="3" t="s">
        <v>492</v>
      </c>
      <c r="D126" s="3"/>
      <c r="E126" s="3"/>
      <c r="F126" s="3"/>
      <c r="G126" s="3"/>
      <c r="H126" s="3"/>
      <c r="I126" s="3"/>
      <c r="J126" s="3"/>
      <c r="K126" s="3"/>
      <c r="L126" s="3"/>
      <c r="M126" s="3"/>
      <c r="N126" s="3"/>
      <c r="O126" s="3"/>
      <c r="Q126" s="3"/>
      <c r="R126" s="3"/>
      <c r="S126" s="3"/>
    </row>
    <row r="127" spans="2:20" ht="47.25" customHeight="1" x14ac:dyDescent="0.35">
      <c r="B127" s="667" t="s">
        <v>487</v>
      </c>
      <c r="C127" s="667"/>
      <c r="D127" s="77"/>
      <c r="E127" s="77"/>
      <c r="F127" s="76"/>
      <c r="G127" s="76"/>
      <c r="H127" s="76"/>
      <c r="I127" s="76"/>
      <c r="J127" s="76"/>
      <c r="K127" s="76"/>
      <c r="L127" s="76"/>
      <c r="N127" s="35"/>
      <c r="O127" s="3"/>
      <c r="Q127" s="3"/>
      <c r="R127" s="385">
        <v>1866666667</v>
      </c>
      <c r="S127" s="3"/>
    </row>
    <row r="128" spans="2:20" ht="29" x14ac:dyDescent="0.35">
      <c r="B128" s="373">
        <v>1</v>
      </c>
      <c r="C128" s="82" t="s">
        <v>8</v>
      </c>
      <c r="D128" s="363">
        <v>1</v>
      </c>
      <c r="E128" s="363" t="s">
        <v>264</v>
      </c>
      <c r="F128" s="80">
        <v>200000000</v>
      </c>
      <c r="G128" s="80">
        <f>Annexures!D5</f>
        <v>353344431</v>
      </c>
      <c r="H128" s="80">
        <f>Annexures!M5</f>
        <v>1</v>
      </c>
      <c r="I128" s="80">
        <f>Annexures!O5</f>
        <v>1800000000</v>
      </c>
      <c r="J128" s="80">
        <f>I128*0.95</f>
        <v>1710000000</v>
      </c>
      <c r="K128" s="340">
        <f>I128-J128</f>
        <v>90000000</v>
      </c>
      <c r="L128" s="344">
        <v>264000</v>
      </c>
      <c r="M128" s="337">
        <f>L128*18%</f>
        <v>47520</v>
      </c>
      <c r="N128" s="337">
        <v>20000</v>
      </c>
      <c r="O128" s="337">
        <f>L128+M128+N128</f>
        <v>331520</v>
      </c>
      <c r="P128" s="338" t="s">
        <v>10</v>
      </c>
      <c r="Q128" s="339" t="s">
        <v>9</v>
      </c>
      <c r="R128" s="340">
        <f>'Marine Dept'!R6</f>
        <v>90000000</v>
      </c>
      <c r="S128" s="55" t="s">
        <v>415</v>
      </c>
      <c r="T128" s="23" t="s">
        <v>416</v>
      </c>
    </row>
    <row r="129" spans="2:20" ht="15.5" x14ac:dyDescent="0.35">
      <c r="B129" s="132" t="s">
        <v>26</v>
      </c>
      <c r="C129" s="55"/>
      <c r="D129" s="363"/>
      <c r="E129" s="363"/>
      <c r="F129" s="80"/>
      <c r="G129" s="80"/>
      <c r="H129" s="80"/>
      <c r="I129" s="80"/>
      <c r="J129" s="80"/>
      <c r="K129" s="80"/>
      <c r="L129" s="53"/>
      <c r="M129" s="53"/>
      <c r="N129" s="53"/>
      <c r="O129" s="81"/>
      <c r="P129" s="55"/>
      <c r="Q129" s="52"/>
      <c r="R129" s="294"/>
      <c r="S129" s="52"/>
      <c r="T129" s="301"/>
    </row>
    <row r="130" spans="2:20" ht="116" x14ac:dyDescent="0.35">
      <c r="B130" s="373">
        <v>9</v>
      </c>
      <c r="C130" s="82" t="s">
        <v>27</v>
      </c>
      <c r="D130" s="309">
        <v>1</v>
      </c>
      <c r="E130" s="627" t="s">
        <v>264</v>
      </c>
      <c r="F130" s="80">
        <v>7600000</v>
      </c>
      <c r="G130" s="80">
        <f>Annexures!D41</f>
        <v>12254547</v>
      </c>
      <c r="H130" s="80">
        <f>Annexures!M41</f>
        <v>6001448</v>
      </c>
      <c r="I130" s="80">
        <f>Annexures!O41</f>
        <v>13834394</v>
      </c>
      <c r="J130" s="80">
        <f>Annexures!P41</f>
        <v>7228470.8649999993</v>
      </c>
      <c r="K130" s="307">
        <f>Annexures!Q41</f>
        <v>6605923.1350000007</v>
      </c>
      <c r="L130" s="337">
        <v>38000</v>
      </c>
      <c r="M130" s="337">
        <f>L130*18%</f>
        <v>6840</v>
      </c>
      <c r="N130" s="337">
        <v>760</v>
      </c>
      <c r="O130" s="337">
        <f>L130+M130+N130</f>
        <v>45600</v>
      </c>
      <c r="P130" s="338" t="s">
        <v>19</v>
      </c>
      <c r="Q130" s="339" t="s">
        <v>14</v>
      </c>
      <c r="R130" s="340">
        <f>'Marine Dept'!R15</f>
        <v>10400000</v>
      </c>
      <c r="S130" s="55" t="s">
        <v>428</v>
      </c>
      <c r="T130" s="23" t="s">
        <v>429</v>
      </c>
    </row>
    <row r="131" spans="2:20" ht="116" x14ac:dyDescent="0.35">
      <c r="B131" s="373">
        <v>10</v>
      </c>
      <c r="C131" s="82" t="s">
        <v>28</v>
      </c>
      <c r="D131" s="309">
        <v>1</v>
      </c>
      <c r="E131" s="627"/>
      <c r="F131" s="80">
        <v>950000</v>
      </c>
      <c r="G131" s="80">
        <f>Annexures!D44</f>
        <v>2577417</v>
      </c>
      <c r="H131" s="80">
        <f>Annexures!M44</f>
        <v>1262283</v>
      </c>
      <c r="I131" s="80">
        <f>Annexures!O44</f>
        <v>2900000</v>
      </c>
      <c r="J131" s="80">
        <f>Annexures!P44</f>
        <v>1515250</v>
      </c>
      <c r="K131" s="80">
        <f>Annexures!Q44</f>
        <v>1384750</v>
      </c>
      <c r="L131" s="81">
        <v>1425</v>
      </c>
      <c r="M131" s="81">
        <f>L131*18%</f>
        <v>256.5</v>
      </c>
      <c r="N131" s="81">
        <v>95</v>
      </c>
      <c r="O131" s="81">
        <f>L131+M131+N131</f>
        <v>1776.5</v>
      </c>
      <c r="P131" s="55" t="s">
        <v>19</v>
      </c>
      <c r="Q131" s="368" t="s">
        <v>9</v>
      </c>
      <c r="R131" s="236">
        <f>'Marine Dept'!R16</f>
        <v>2000000</v>
      </c>
      <c r="S131" s="23" t="s">
        <v>430</v>
      </c>
      <c r="T131" s="23" t="s">
        <v>431</v>
      </c>
    </row>
    <row r="132" spans="2:20" ht="15.5" x14ac:dyDescent="0.35">
      <c r="B132" s="132" t="s">
        <v>29</v>
      </c>
      <c r="C132" s="55"/>
      <c r="D132" s="309"/>
      <c r="E132" s="627"/>
      <c r="F132" s="80"/>
      <c r="G132" s="80"/>
      <c r="H132" s="80"/>
      <c r="I132" s="80"/>
      <c r="J132" s="80"/>
      <c r="K132" s="80"/>
      <c r="L132" s="53"/>
      <c r="M132" s="53"/>
      <c r="N132" s="53"/>
      <c r="O132" s="81"/>
      <c r="P132" s="55"/>
      <c r="Q132" s="52"/>
      <c r="R132" s="294"/>
      <c r="S132" s="52"/>
      <c r="T132" s="301"/>
    </row>
    <row r="133" spans="2:20" ht="29" x14ac:dyDescent="0.35">
      <c r="B133" s="373">
        <v>11</v>
      </c>
      <c r="C133" s="82" t="s">
        <v>30</v>
      </c>
      <c r="D133" s="309">
        <v>1</v>
      </c>
      <c r="E133" s="627"/>
      <c r="F133" s="80">
        <v>250000000</v>
      </c>
      <c r="G133" s="80">
        <f>Annexures!D47</f>
        <v>405113094</v>
      </c>
      <c r="H133" s="80">
        <f>Annexures!M47</f>
        <v>205394975</v>
      </c>
      <c r="I133" s="307">
        <f>Annexures!O47</f>
        <v>450000000</v>
      </c>
      <c r="J133" s="307">
        <f>Annexures!P47</f>
        <v>213750000</v>
      </c>
      <c r="K133" s="307">
        <f>Annexures!Q47</f>
        <v>236250000</v>
      </c>
      <c r="L133" s="337">
        <v>625000</v>
      </c>
      <c r="M133" s="337">
        <f>L133*18%</f>
        <v>112500</v>
      </c>
      <c r="N133" s="337">
        <v>25000</v>
      </c>
      <c r="O133" s="337">
        <f>L133+M133+N133</f>
        <v>762500</v>
      </c>
      <c r="P133" s="338" t="s">
        <v>19</v>
      </c>
      <c r="Q133" s="339" t="s">
        <v>31</v>
      </c>
      <c r="R133" s="340">
        <f>'Marine Dept'!R18</f>
        <v>240000000</v>
      </c>
      <c r="S133" s="341" t="s">
        <v>440</v>
      </c>
      <c r="T133" s="341" t="s">
        <v>440</v>
      </c>
    </row>
    <row r="134" spans="2:20" ht="29" x14ac:dyDescent="0.35">
      <c r="B134" s="373">
        <v>12</v>
      </c>
      <c r="C134" s="82" t="s">
        <v>32</v>
      </c>
      <c r="D134" s="309">
        <v>1</v>
      </c>
      <c r="E134" s="627"/>
      <c r="F134" s="80">
        <v>250000000</v>
      </c>
      <c r="G134" s="80">
        <f>Annexures!D50</f>
        <v>405113094.41000003</v>
      </c>
      <c r="H134" s="80">
        <f>Annexures!M50</f>
        <v>210773714</v>
      </c>
      <c r="I134" s="307">
        <f>Annexures!O50</f>
        <v>450000000</v>
      </c>
      <c r="J134" s="307">
        <f>Annexures!P50</f>
        <v>213750000</v>
      </c>
      <c r="K134" s="307">
        <f>Annexures!Q50</f>
        <v>236250000</v>
      </c>
      <c r="L134" s="337">
        <f>'[2]Asset wise break up'!G127</f>
        <v>625000</v>
      </c>
      <c r="M134" s="337">
        <f>L134*18%</f>
        <v>112500</v>
      </c>
      <c r="N134" s="337">
        <v>25000</v>
      </c>
      <c r="O134" s="337">
        <f>L134+M134+N134</f>
        <v>762500</v>
      </c>
      <c r="P134" s="338" t="s">
        <v>19</v>
      </c>
      <c r="Q134" s="339" t="s">
        <v>31</v>
      </c>
      <c r="R134" s="340">
        <f>'Marine Dept'!R19</f>
        <v>240000000</v>
      </c>
      <c r="S134" s="341" t="s">
        <v>440</v>
      </c>
      <c r="T134" s="341" t="s">
        <v>440</v>
      </c>
    </row>
    <row r="135" spans="2:20" x14ac:dyDescent="0.35">
      <c r="I135" s="382">
        <f>I128+I130+I131+I133+I134</f>
        <v>2716734394</v>
      </c>
      <c r="K135" s="382">
        <f>K128+K130+K131+K133+K134</f>
        <v>570490673.13499999</v>
      </c>
      <c r="R135" s="382">
        <f>R128+R130+R131+R133+R134</f>
        <v>582400000</v>
      </c>
    </row>
    <row r="137" spans="2:20" x14ac:dyDescent="0.35">
      <c r="C137" s="2" t="s">
        <v>498</v>
      </c>
      <c r="R137" s="384">
        <f>R135*15%</f>
        <v>87360000</v>
      </c>
    </row>
    <row r="156" spans="2:24" ht="15.5" x14ac:dyDescent="0.35">
      <c r="B156" s="287"/>
      <c r="C156" s="98"/>
      <c r="D156" s="287"/>
      <c r="E156" s="287"/>
      <c r="F156" s="213"/>
      <c r="G156" s="213"/>
      <c r="H156" s="213"/>
      <c r="I156" s="213"/>
      <c r="J156" s="213"/>
      <c r="K156" s="213"/>
      <c r="L156" s="313"/>
      <c r="M156" s="313"/>
      <c r="N156" s="313"/>
      <c r="O156" s="313"/>
      <c r="P156" s="98"/>
      <c r="Q156" s="263"/>
      <c r="R156" s="98"/>
      <c r="S156" s="380"/>
      <c r="T156" s="381"/>
      <c r="U156" s="98"/>
      <c r="V156" s="98"/>
      <c r="W156" s="98"/>
      <c r="X156" s="98"/>
    </row>
    <row r="157" spans="2:24" x14ac:dyDescent="0.35">
      <c r="B157" s="287"/>
      <c r="C157" s="265"/>
      <c r="D157" s="287"/>
      <c r="E157" s="287"/>
      <c r="F157" s="320"/>
      <c r="G157" s="320"/>
      <c r="H157" s="320"/>
      <c r="I157" s="320"/>
      <c r="J157" s="320"/>
      <c r="K157" s="320"/>
      <c r="L157" s="320"/>
      <c r="M157" s="320"/>
      <c r="N157" s="320"/>
      <c r="O157" s="320"/>
      <c r="P157" s="98"/>
      <c r="Q157" s="265"/>
      <c r="R157" s="265"/>
      <c r="S157" s="265"/>
      <c r="T157" s="98"/>
      <c r="U157" s="98"/>
      <c r="V157" s="98"/>
      <c r="W157" s="98"/>
      <c r="X157" s="98"/>
    </row>
  </sheetData>
  <mergeCells count="26">
    <mergeCell ref="B2:Q2"/>
    <mergeCell ref="G3:H3"/>
    <mergeCell ref="I3:K3"/>
    <mergeCell ref="E130:E134"/>
    <mergeCell ref="F29:F32"/>
    <mergeCell ref="G29:G32"/>
    <mergeCell ref="H29:H32"/>
    <mergeCell ref="I29:I32"/>
    <mergeCell ref="J29:J32"/>
    <mergeCell ref="K29:K32"/>
    <mergeCell ref="B127:C127"/>
    <mergeCell ref="R29:R32"/>
    <mergeCell ref="T29:T32"/>
    <mergeCell ref="G92:G94"/>
    <mergeCell ref="H92:H94"/>
    <mergeCell ref="I92:I94"/>
    <mergeCell ref="J92:J94"/>
    <mergeCell ref="K92:K94"/>
    <mergeCell ref="R92:R94"/>
    <mergeCell ref="S92:S94"/>
    <mergeCell ref="L29:L32"/>
    <mergeCell ref="M29:M32"/>
    <mergeCell ref="N29:N32"/>
    <mergeCell ref="O29:O32"/>
    <mergeCell ref="P29:P32"/>
    <mergeCell ref="Q29:Q32"/>
  </mergeCells>
  <pageMargins left="0.7" right="0.7" top="0.75" bottom="0.75" header="0.3" footer="0.3"/>
  <pageSetup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58"/>
  <sheetViews>
    <sheetView zoomScale="80" zoomScaleNormal="80" workbookViewId="0">
      <pane ySplit="4" topLeftCell="A26" activePane="bottomLeft" state="frozen"/>
      <selection pane="bottomLeft" activeCell="I34" sqref="I34:I37"/>
    </sheetView>
  </sheetViews>
  <sheetFormatPr defaultColWidth="9.1796875" defaultRowHeight="14.5" x14ac:dyDescent="0.35"/>
  <cols>
    <col min="1" max="1" width="5.7265625" style="3" customWidth="1"/>
    <col min="2" max="2" width="5.1796875" style="1" customWidth="1"/>
    <col min="3" max="3" width="52.26953125" style="2" customWidth="1"/>
    <col min="4" max="4" width="10.54296875" style="1" customWidth="1"/>
    <col min="5" max="5" width="9.81640625" style="1" hidden="1" customWidth="1"/>
    <col min="6" max="6" width="18.26953125" style="37" customWidth="1"/>
    <col min="7" max="8" width="18.26953125" style="37" hidden="1" customWidth="1"/>
    <col min="9" max="9" width="25" style="37" customWidth="1"/>
    <col min="10" max="10" width="18.26953125" style="37" hidden="1" customWidth="1"/>
    <col min="11" max="11" width="18.26953125" style="37" customWidth="1"/>
    <col min="12" max="12" width="15.1796875" style="37" hidden="1" customWidth="1"/>
    <col min="13" max="13" width="12.54296875" style="37" hidden="1" customWidth="1"/>
    <col min="14" max="14" width="12.81640625" style="37" hidden="1" customWidth="1"/>
    <col min="15" max="15" width="15.26953125" style="37" hidden="1" customWidth="1"/>
    <col min="16" max="16" width="23.7265625" style="3" hidden="1" customWidth="1"/>
    <col min="17" max="17" width="52" style="2" hidden="1" customWidth="1"/>
    <col min="18" max="18" width="21.7265625" style="2" customWidth="1"/>
    <col min="19" max="19" width="32.1796875" style="2" customWidth="1"/>
    <col min="20" max="20" width="36.81640625" style="3" customWidth="1"/>
    <col min="21" max="21" width="18.26953125" style="3" customWidth="1"/>
    <col min="22" max="22" width="15.7265625" style="3" customWidth="1"/>
    <col min="23" max="16384" width="9.1796875" style="3"/>
  </cols>
  <sheetData>
    <row r="1" spans="1:21" ht="17" x14ac:dyDescent="0.35">
      <c r="A1" s="3" t="s">
        <v>153</v>
      </c>
      <c r="F1" s="36"/>
      <c r="G1" s="36"/>
      <c r="H1" s="36"/>
      <c r="I1" s="36"/>
      <c r="J1" s="36"/>
      <c r="K1" s="36"/>
      <c r="R1" s="345" t="s">
        <v>477</v>
      </c>
    </row>
    <row r="2" spans="1:21" ht="17" x14ac:dyDescent="0.35">
      <c r="B2" s="640" t="s">
        <v>157</v>
      </c>
      <c r="C2" s="640"/>
      <c r="D2" s="640"/>
      <c r="E2" s="640"/>
      <c r="F2" s="640"/>
      <c r="G2" s="640"/>
      <c r="H2" s="640"/>
      <c r="I2" s="640"/>
      <c r="J2" s="640"/>
      <c r="K2" s="640"/>
      <c r="L2" s="640"/>
      <c r="M2" s="640"/>
      <c r="N2" s="640"/>
      <c r="O2" s="640"/>
      <c r="P2" s="640"/>
      <c r="Q2" s="640"/>
      <c r="R2" s="346" t="s">
        <v>476</v>
      </c>
      <c r="S2" s="240"/>
    </row>
    <row r="3" spans="1:21" ht="43.5" x14ac:dyDescent="0.35">
      <c r="B3" s="4"/>
      <c r="C3" s="4"/>
      <c r="E3" s="79" t="s">
        <v>363</v>
      </c>
      <c r="F3" s="328" t="s">
        <v>362</v>
      </c>
      <c r="G3" s="641" t="s">
        <v>360</v>
      </c>
      <c r="H3" s="641"/>
      <c r="I3" s="641" t="s">
        <v>359</v>
      </c>
      <c r="J3" s="641"/>
      <c r="K3" s="641"/>
    </row>
    <row r="4" spans="1:21" s="5" customFormat="1" ht="36" customHeight="1" x14ac:dyDescent="0.35">
      <c r="B4" s="51" t="s">
        <v>0</v>
      </c>
      <c r="C4" s="6" t="s">
        <v>1</v>
      </c>
      <c r="D4" s="6" t="s">
        <v>2</v>
      </c>
      <c r="E4" s="6" t="s">
        <v>269</v>
      </c>
      <c r="F4" s="51" t="s">
        <v>155</v>
      </c>
      <c r="G4" s="74" t="s">
        <v>357</v>
      </c>
      <c r="H4" s="74" t="s">
        <v>358</v>
      </c>
      <c r="I4" s="267" t="s">
        <v>185</v>
      </c>
      <c r="J4" s="267" t="s">
        <v>186</v>
      </c>
      <c r="K4" s="267" t="s">
        <v>411</v>
      </c>
      <c r="L4" s="6" t="s">
        <v>4</v>
      </c>
      <c r="M4" s="6" t="s">
        <v>5</v>
      </c>
      <c r="N4" s="6" t="s">
        <v>6</v>
      </c>
      <c r="O4" s="6" t="s">
        <v>154</v>
      </c>
      <c r="P4" s="51" t="s">
        <v>3</v>
      </c>
      <c r="Q4" s="51" t="s">
        <v>156</v>
      </c>
      <c r="R4" s="267" t="s">
        <v>434</v>
      </c>
      <c r="S4" s="267" t="s">
        <v>438</v>
      </c>
      <c r="T4" s="5" t="s">
        <v>414</v>
      </c>
    </row>
    <row r="5" spans="1:21" s="5" customFormat="1" ht="19.5" x14ac:dyDescent="0.35">
      <c r="B5" s="7" t="s">
        <v>7</v>
      </c>
      <c r="C5" s="75"/>
      <c r="D5" s="8"/>
      <c r="E5" s="8"/>
      <c r="F5" s="39"/>
      <c r="G5" s="39"/>
      <c r="H5" s="39"/>
      <c r="I5" s="39"/>
      <c r="J5" s="39"/>
      <c r="K5" s="39"/>
      <c r="L5" s="39"/>
      <c r="M5" s="39"/>
      <c r="N5" s="39"/>
      <c r="O5" s="39"/>
      <c r="P5" s="8"/>
      <c r="Q5" s="51"/>
      <c r="R5" s="261"/>
      <c r="S5" s="261"/>
    </row>
    <row r="6" spans="1:21" ht="48.75" customHeight="1" x14ac:dyDescent="0.35">
      <c r="A6" s="3">
        <v>1</v>
      </c>
      <c r="B6" s="29">
        <v>1</v>
      </c>
      <c r="C6" s="82" t="s">
        <v>8</v>
      </c>
      <c r="D6" s="87">
        <v>1</v>
      </c>
      <c r="E6" s="87" t="s">
        <v>264</v>
      </c>
      <c r="F6" s="80">
        <v>200000000</v>
      </c>
      <c r="G6" s="80">
        <f>Annexures!D5</f>
        <v>353344431</v>
      </c>
      <c r="H6" s="80">
        <f>Annexures!M5</f>
        <v>1</v>
      </c>
      <c r="I6" s="80">
        <f>Annexures!O5</f>
        <v>1800000000</v>
      </c>
      <c r="J6" s="80">
        <f>I6*0.95</f>
        <v>1710000000</v>
      </c>
      <c r="K6" s="340">
        <f>I6-J6</f>
        <v>90000000</v>
      </c>
      <c r="L6" s="344">
        <v>264000</v>
      </c>
      <c r="M6" s="337">
        <f t="shared" ref="M6:M13" si="0">L6*18%</f>
        <v>47520</v>
      </c>
      <c r="N6" s="337">
        <v>20000</v>
      </c>
      <c r="O6" s="337">
        <f>L6+M6+N6</f>
        <v>331520</v>
      </c>
      <c r="P6" s="338" t="s">
        <v>10</v>
      </c>
      <c r="Q6" s="339" t="s">
        <v>9</v>
      </c>
      <c r="R6" s="340">
        <f>'Marine Dept'!R6</f>
        <v>90000000</v>
      </c>
      <c r="S6" s="55" t="s">
        <v>415</v>
      </c>
      <c r="T6" s="23" t="s">
        <v>416</v>
      </c>
    </row>
    <row r="7" spans="1:21" ht="58" x14ac:dyDescent="0.35">
      <c r="A7" s="3">
        <v>2</v>
      </c>
      <c r="B7" s="29">
        <v>2</v>
      </c>
      <c r="C7" s="82" t="s">
        <v>11</v>
      </c>
      <c r="D7" s="87">
        <v>1</v>
      </c>
      <c r="E7" s="87" t="s">
        <v>265</v>
      </c>
      <c r="F7" s="80">
        <v>30000000</v>
      </c>
      <c r="G7" s="80">
        <f>Annexures!D10</f>
        <v>91839658.120000005</v>
      </c>
      <c r="H7" s="80">
        <f>Annexures!M10</f>
        <v>2</v>
      </c>
      <c r="I7" s="80">
        <f>Annexures!O10</f>
        <v>72000000</v>
      </c>
      <c r="J7" s="80">
        <f>I7*0.95</f>
        <v>68400000</v>
      </c>
      <c r="K7" s="236">
        <f>I7-J7</f>
        <v>3600000</v>
      </c>
      <c r="L7" s="81">
        <v>39000</v>
      </c>
      <c r="M7" s="81">
        <f t="shared" si="0"/>
        <v>7020</v>
      </c>
      <c r="N7" s="81">
        <v>3000</v>
      </c>
      <c r="O7" s="81">
        <f t="shared" ref="O7:O19" si="1">L7+M7+N7</f>
        <v>49020</v>
      </c>
      <c r="P7" s="55" t="s">
        <v>10</v>
      </c>
      <c r="Q7" s="86" t="s">
        <v>12</v>
      </c>
      <c r="R7" s="236">
        <f>'Marine Dept'!R7</f>
        <v>3600000</v>
      </c>
      <c r="S7" s="55" t="s">
        <v>417</v>
      </c>
      <c r="T7" s="283" t="s">
        <v>418</v>
      </c>
    </row>
    <row r="8" spans="1:21" ht="130.5" x14ac:dyDescent="0.35">
      <c r="A8" s="3">
        <v>3</v>
      </c>
      <c r="B8" s="29">
        <v>3</v>
      </c>
      <c r="C8" s="82" t="s">
        <v>13</v>
      </c>
      <c r="D8" s="87">
        <v>26</v>
      </c>
      <c r="E8" s="87" t="s">
        <v>265</v>
      </c>
      <c r="F8" s="80">
        <v>30000000</v>
      </c>
      <c r="G8" s="80">
        <f>Annexures!D22</f>
        <v>43467197.629999995</v>
      </c>
      <c r="H8" s="80">
        <f>Annexures!M22</f>
        <v>14748588</v>
      </c>
      <c r="I8" s="80">
        <f>Annexures!O22</f>
        <v>85159677</v>
      </c>
      <c r="J8" s="80">
        <f>Annexures!P22</f>
        <v>51418431.132499985</v>
      </c>
      <c r="K8" s="340">
        <f>Annexures!Q22</f>
        <v>33741245.867500007</v>
      </c>
      <c r="L8" s="337">
        <v>58650</v>
      </c>
      <c r="M8" s="337">
        <f t="shared" si="0"/>
        <v>10557</v>
      </c>
      <c r="N8" s="337">
        <v>3000</v>
      </c>
      <c r="O8" s="337">
        <f t="shared" si="1"/>
        <v>72207</v>
      </c>
      <c r="P8" s="338" t="s">
        <v>10</v>
      </c>
      <c r="Q8" s="339" t="s">
        <v>14</v>
      </c>
      <c r="R8" s="340">
        <f>'Marine Dept'!R8</f>
        <v>16000000</v>
      </c>
      <c r="S8" s="23" t="s">
        <v>439</v>
      </c>
      <c r="T8" s="23" t="s">
        <v>419</v>
      </c>
    </row>
    <row r="9" spans="1:21" ht="29" x14ac:dyDescent="0.35">
      <c r="A9" s="3">
        <v>4</v>
      </c>
      <c r="B9" s="29">
        <v>4</v>
      </c>
      <c r="C9" s="82" t="s">
        <v>15</v>
      </c>
      <c r="D9" s="87">
        <v>1</v>
      </c>
      <c r="E9" s="87" t="s">
        <v>266</v>
      </c>
      <c r="F9" s="80">
        <v>1425000</v>
      </c>
      <c r="G9" s="80">
        <f>Annexures!D25</f>
        <v>2827981.4</v>
      </c>
      <c r="H9" s="80">
        <f>Annexures!M25</f>
        <v>1572048.4</v>
      </c>
      <c r="I9" s="236">
        <f>Annexures!O25</f>
        <v>5000000</v>
      </c>
      <c r="J9" s="80">
        <f>Annexures!P25</f>
        <v>4750000</v>
      </c>
      <c r="K9" s="80">
        <f>Annexures!Q25</f>
        <v>250000</v>
      </c>
      <c r="L9" s="81">
        <v>6163</v>
      </c>
      <c r="M9" s="81">
        <f t="shared" si="0"/>
        <v>1109.3399999999999</v>
      </c>
      <c r="N9" s="81">
        <v>0</v>
      </c>
      <c r="O9" s="81">
        <f t="shared" si="1"/>
        <v>7272.34</v>
      </c>
      <c r="P9" s="55" t="s">
        <v>10</v>
      </c>
      <c r="Q9" s="86" t="s">
        <v>16</v>
      </c>
      <c r="R9" s="236">
        <f>'Marine Dept'!R9</f>
        <v>5000000</v>
      </c>
      <c r="S9" s="55" t="s">
        <v>420</v>
      </c>
      <c r="T9" s="23" t="s">
        <v>421</v>
      </c>
    </row>
    <row r="10" spans="1:21" ht="31" x14ac:dyDescent="0.35">
      <c r="A10" s="3">
        <v>5</v>
      </c>
      <c r="B10" s="250">
        <v>5</v>
      </c>
      <c r="C10" s="82" t="s">
        <v>189</v>
      </c>
      <c r="D10" s="247">
        <v>1</v>
      </c>
      <c r="E10" s="247"/>
      <c r="F10" s="80">
        <v>2375000</v>
      </c>
      <c r="G10" s="80"/>
      <c r="H10" s="80"/>
      <c r="I10" s="80"/>
      <c r="J10" s="80"/>
      <c r="K10" s="80"/>
      <c r="L10" s="81">
        <v>1098</v>
      </c>
      <c r="M10" s="81">
        <f t="shared" si="0"/>
        <v>197.64</v>
      </c>
      <c r="N10" s="81">
        <v>0</v>
      </c>
      <c r="O10" s="81">
        <f t="shared" si="1"/>
        <v>1295.6399999999999</v>
      </c>
      <c r="P10" s="55" t="s">
        <v>19</v>
      </c>
      <c r="Q10" s="86" t="s">
        <v>18</v>
      </c>
      <c r="R10" s="236">
        <v>2500000</v>
      </c>
      <c r="S10" s="303" t="s">
        <v>466</v>
      </c>
      <c r="T10" s="303"/>
      <c r="U10" s="3" t="s">
        <v>469</v>
      </c>
    </row>
    <row r="11" spans="1:21" ht="15.5" x14ac:dyDescent="0.35">
      <c r="A11" s="3">
        <v>6</v>
      </c>
      <c r="B11" s="29">
        <v>6</v>
      </c>
      <c r="C11" s="82" t="s">
        <v>20</v>
      </c>
      <c r="D11" s="87">
        <v>1</v>
      </c>
      <c r="E11" s="87" t="s">
        <v>265</v>
      </c>
      <c r="F11" s="80">
        <v>2500000</v>
      </c>
      <c r="G11" s="80">
        <f>Annexures!D28</f>
        <v>4202075</v>
      </c>
      <c r="H11" s="80">
        <f>Annexures!M28</f>
        <v>1</v>
      </c>
      <c r="I11" s="80">
        <f>Annexures!O28</f>
        <v>6394462</v>
      </c>
      <c r="J11" s="80">
        <f>Annexures!P28</f>
        <v>2429895.5599999996</v>
      </c>
      <c r="K11" s="236">
        <f>Annexures!Q28</f>
        <v>3964566.4400000004</v>
      </c>
      <c r="L11" s="81">
        <v>11969</v>
      </c>
      <c r="M11" s="81">
        <f t="shared" si="0"/>
        <v>2154.42</v>
      </c>
      <c r="N11" s="81">
        <v>0</v>
      </c>
      <c r="O11" s="81">
        <f t="shared" si="1"/>
        <v>14123.42</v>
      </c>
      <c r="P11" s="55" t="s">
        <v>10</v>
      </c>
      <c r="Q11" s="86" t="s">
        <v>21</v>
      </c>
      <c r="R11" s="236">
        <f>'Marine Dept'!R11</f>
        <v>6394462</v>
      </c>
      <c r="S11" s="55" t="s">
        <v>423</v>
      </c>
      <c r="T11" s="55" t="s">
        <v>424</v>
      </c>
    </row>
    <row r="12" spans="1:21" ht="58" x14ac:dyDescent="0.35">
      <c r="A12" s="3">
        <v>7</v>
      </c>
      <c r="B12" s="29">
        <v>7</v>
      </c>
      <c r="C12" s="82" t="s">
        <v>22</v>
      </c>
      <c r="D12" s="87"/>
      <c r="E12" s="87" t="s">
        <v>267</v>
      </c>
      <c r="F12" s="80">
        <v>23750000</v>
      </c>
      <c r="G12" s="80">
        <f>Annexures!D31</f>
        <v>35340810.340000004</v>
      </c>
      <c r="H12" s="80">
        <f>Annexures!M31</f>
        <v>17629525.16</v>
      </c>
      <c r="I12" s="80">
        <f>Annexures!O31</f>
        <v>41231000</v>
      </c>
      <c r="J12" s="80">
        <f>Annexures!P31</f>
        <v>19584725</v>
      </c>
      <c r="K12" s="340">
        <f>Annexures!Q31</f>
        <v>21646275</v>
      </c>
      <c r="L12" s="337">
        <v>118750</v>
      </c>
      <c r="M12" s="337">
        <f t="shared" si="0"/>
        <v>21375</v>
      </c>
      <c r="N12" s="337">
        <v>0</v>
      </c>
      <c r="O12" s="337">
        <f t="shared" si="1"/>
        <v>140125</v>
      </c>
      <c r="P12" s="338" t="s">
        <v>19</v>
      </c>
      <c r="Q12" s="339" t="s">
        <v>23</v>
      </c>
      <c r="R12" s="340">
        <f>'Marine Dept'!R12</f>
        <v>17500000</v>
      </c>
      <c r="S12" s="55" t="s">
        <v>425</v>
      </c>
      <c r="T12" s="23" t="s">
        <v>426</v>
      </c>
    </row>
    <row r="13" spans="1:21" ht="31" x14ac:dyDescent="0.35">
      <c r="A13" s="3">
        <v>8</v>
      </c>
      <c r="B13" s="29">
        <v>8</v>
      </c>
      <c r="C13" s="129" t="s">
        <v>24</v>
      </c>
      <c r="D13" s="130"/>
      <c r="E13" s="87" t="s">
        <v>268</v>
      </c>
      <c r="F13" s="131">
        <v>43400000</v>
      </c>
      <c r="G13" s="131">
        <f>Annexures!D34</f>
        <v>57945859.259999998</v>
      </c>
      <c r="H13" s="131">
        <f>Annexures!M34</f>
        <v>2362500</v>
      </c>
      <c r="I13" s="131">
        <f>Annexures!O36</f>
        <v>68000000</v>
      </c>
      <c r="J13" s="131">
        <f>Annexures!P36</f>
        <v>59945000</v>
      </c>
      <c r="K13" s="131">
        <f>Annexures!Q36</f>
        <v>8055000</v>
      </c>
      <c r="L13" s="81">
        <v>20073</v>
      </c>
      <c r="M13" s="81">
        <f t="shared" si="0"/>
        <v>3613.14</v>
      </c>
      <c r="N13" s="81"/>
      <c r="O13" s="81">
        <f t="shared" si="1"/>
        <v>23686.14</v>
      </c>
      <c r="P13" s="55" t="s">
        <v>19</v>
      </c>
      <c r="Q13" s="86" t="s">
        <v>25</v>
      </c>
      <c r="R13" s="236">
        <f>'Marine Dept'!R13</f>
        <v>43400000</v>
      </c>
      <c r="S13" s="23" t="s">
        <v>427</v>
      </c>
      <c r="T13" s="23" t="s">
        <v>427</v>
      </c>
    </row>
    <row r="14" spans="1:21" ht="15.5" x14ac:dyDescent="0.35">
      <c r="B14" s="132" t="s">
        <v>26</v>
      </c>
      <c r="C14" s="55"/>
      <c r="D14" s="87"/>
      <c r="E14" s="87"/>
      <c r="F14" s="80"/>
      <c r="G14" s="80"/>
      <c r="H14" s="80"/>
      <c r="I14" s="80"/>
      <c r="J14" s="80"/>
      <c r="K14" s="80"/>
      <c r="L14" s="53"/>
      <c r="M14" s="53"/>
      <c r="N14" s="53"/>
      <c r="O14" s="81"/>
      <c r="P14" s="55"/>
      <c r="Q14" s="52"/>
      <c r="R14" s="294"/>
      <c r="S14" s="52"/>
      <c r="T14" s="301"/>
    </row>
    <row r="15" spans="1:21" ht="116" x14ac:dyDescent="0.35">
      <c r="A15" s="3">
        <v>9</v>
      </c>
      <c r="B15" s="29">
        <v>9</v>
      </c>
      <c r="C15" s="82" t="s">
        <v>27</v>
      </c>
      <c r="D15" s="309">
        <v>1</v>
      </c>
      <c r="E15" s="627" t="s">
        <v>264</v>
      </c>
      <c r="F15" s="80">
        <v>7600000</v>
      </c>
      <c r="G15" s="80">
        <f>Annexures!D41</f>
        <v>12254547</v>
      </c>
      <c r="H15" s="80">
        <f>Annexures!M41</f>
        <v>6001448</v>
      </c>
      <c r="I15" s="80">
        <f>Annexures!O41</f>
        <v>13834394</v>
      </c>
      <c r="J15" s="80">
        <f>Annexures!P41</f>
        <v>7228470.8649999993</v>
      </c>
      <c r="K15" s="307">
        <f>Annexures!Q41</f>
        <v>6605923.1350000007</v>
      </c>
      <c r="L15" s="337">
        <v>38000</v>
      </c>
      <c r="M15" s="337">
        <f>L15*18%</f>
        <v>6840</v>
      </c>
      <c r="N15" s="337">
        <v>760</v>
      </c>
      <c r="O15" s="337">
        <f t="shared" si="1"/>
        <v>45600</v>
      </c>
      <c r="P15" s="338" t="s">
        <v>19</v>
      </c>
      <c r="Q15" s="339" t="s">
        <v>14</v>
      </c>
      <c r="R15" s="340">
        <f>'Marine Dept'!R15</f>
        <v>10400000</v>
      </c>
      <c r="S15" s="55" t="s">
        <v>428</v>
      </c>
      <c r="T15" s="23" t="s">
        <v>429</v>
      </c>
    </row>
    <row r="16" spans="1:21" ht="116" x14ac:dyDescent="0.35">
      <c r="A16" s="3">
        <v>10</v>
      </c>
      <c r="B16" s="29">
        <v>10</v>
      </c>
      <c r="C16" s="82" t="s">
        <v>28</v>
      </c>
      <c r="D16" s="309">
        <v>1</v>
      </c>
      <c r="E16" s="627"/>
      <c r="F16" s="80">
        <v>950000</v>
      </c>
      <c r="G16" s="80">
        <f>Annexures!D44</f>
        <v>2577417</v>
      </c>
      <c r="H16" s="80">
        <f>Annexures!M44</f>
        <v>1262283</v>
      </c>
      <c r="I16" s="80">
        <f>Annexures!O44</f>
        <v>2900000</v>
      </c>
      <c r="J16" s="80">
        <f>Annexures!P44</f>
        <v>1515250</v>
      </c>
      <c r="K16" s="80">
        <f>Annexures!Q44</f>
        <v>1384750</v>
      </c>
      <c r="L16" s="81">
        <v>1425</v>
      </c>
      <c r="M16" s="81">
        <f>L16*18%</f>
        <v>256.5</v>
      </c>
      <c r="N16" s="81">
        <v>95</v>
      </c>
      <c r="O16" s="81">
        <f t="shared" si="1"/>
        <v>1776.5</v>
      </c>
      <c r="P16" s="55" t="s">
        <v>19</v>
      </c>
      <c r="Q16" s="86" t="s">
        <v>9</v>
      </c>
      <c r="R16" s="236">
        <f>'Marine Dept'!R16</f>
        <v>2000000</v>
      </c>
      <c r="S16" s="23" t="s">
        <v>430</v>
      </c>
      <c r="T16" s="23" t="s">
        <v>431</v>
      </c>
    </row>
    <row r="17" spans="1:21" ht="15.5" x14ac:dyDescent="0.35">
      <c r="B17" s="132" t="s">
        <v>29</v>
      </c>
      <c r="C17" s="55"/>
      <c r="D17" s="309"/>
      <c r="E17" s="627"/>
      <c r="F17" s="80"/>
      <c r="G17" s="80"/>
      <c r="H17" s="80"/>
      <c r="I17" s="80"/>
      <c r="J17" s="80"/>
      <c r="K17" s="80"/>
      <c r="L17" s="53"/>
      <c r="M17" s="53"/>
      <c r="N17" s="53"/>
      <c r="O17" s="81"/>
      <c r="P17" s="55"/>
      <c r="Q17" s="52"/>
      <c r="R17" s="294"/>
      <c r="S17" s="52"/>
      <c r="T17" s="301"/>
    </row>
    <row r="18" spans="1:21" ht="29" x14ac:dyDescent="0.35">
      <c r="A18" s="3">
        <v>11</v>
      </c>
      <c r="B18" s="29">
        <v>11</v>
      </c>
      <c r="C18" s="82" t="s">
        <v>30</v>
      </c>
      <c r="D18" s="309">
        <v>1</v>
      </c>
      <c r="E18" s="627"/>
      <c r="F18" s="80">
        <v>250000000</v>
      </c>
      <c r="G18" s="80">
        <f>Annexures!D47</f>
        <v>405113094</v>
      </c>
      <c r="H18" s="80">
        <f>Annexures!M47</f>
        <v>205394975</v>
      </c>
      <c r="I18" s="307">
        <f>Annexures!O47</f>
        <v>450000000</v>
      </c>
      <c r="J18" s="307">
        <f>Annexures!P47</f>
        <v>213750000</v>
      </c>
      <c r="K18" s="307">
        <f>Annexures!Q47</f>
        <v>236250000</v>
      </c>
      <c r="L18" s="337">
        <v>625000</v>
      </c>
      <c r="M18" s="337">
        <f>L18*18%</f>
        <v>112500</v>
      </c>
      <c r="N18" s="337">
        <v>25000</v>
      </c>
      <c r="O18" s="337">
        <f t="shared" si="1"/>
        <v>762500</v>
      </c>
      <c r="P18" s="338" t="s">
        <v>19</v>
      </c>
      <c r="Q18" s="339" t="s">
        <v>31</v>
      </c>
      <c r="R18" s="340">
        <f>'Marine Dept'!R18</f>
        <v>240000000</v>
      </c>
      <c r="S18" s="341" t="s">
        <v>440</v>
      </c>
      <c r="T18" s="341" t="s">
        <v>440</v>
      </c>
    </row>
    <row r="19" spans="1:21" ht="29" x14ac:dyDescent="0.35">
      <c r="A19" s="3">
        <v>12</v>
      </c>
      <c r="B19" s="29">
        <v>12</v>
      </c>
      <c r="C19" s="82" t="s">
        <v>32</v>
      </c>
      <c r="D19" s="309">
        <v>1</v>
      </c>
      <c r="E19" s="627"/>
      <c r="F19" s="80">
        <v>250000000</v>
      </c>
      <c r="G19" s="80">
        <f>Annexures!D50</f>
        <v>405113094.41000003</v>
      </c>
      <c r="H19" s="80">
        <f>Annexures!M50</f>
        <v>210773714</v>
      </c>
      <c r="I19" s="307">
        <f>Annexures!O50</f>
        <v>450000000</v>
      </c>
      <c r="J19" s="307">
        <f>Annexures!P50</f>
        <v>213750000</v>
      </c>
      <c r="K19" s="307">
        <f>Annexures!Q50</f>
        <v>236250000</v>
      </c>
      <c r="L19" s="337">
        <f>'[2]Asset wise break up'!G127</f>
        <v>625000</v>
      </c>
      <c r="M19" s="337">
        <f>L19*18%</f>
        <v>112500</v>
      </c>
      <c r="N19" s="337">
        <v>25000</v>
      </c>
      <c r="O19" s="337">
        <f t="shared" si="1"/>
        <v>762500</v>
      </c>
      <c r="P19" s="338" t="s">
        <v>19</v>
      </c>
      <c r="Q19" s="339" t="s">
        <v>31</v>
      </c>
      <c r="R19" s="340">
        <f>'Marine Dept'!R19</f>
        <v>240000000</v>
      </c>
      <c r="S19" s="341" t="s">
        <v>440</v>
      </c>
      <c r="T19" s="341" t="s">
        <v>440</v>
      </c>
    </row>
    <row r="20" spans="1:21" ht="43.5" x14ac:dyDescent="0.35">
      <c r="A20" s="3">
        <v>13</v>
      </c>
      <c r="B20" s="250">
        <v>13</v>
      </c>
      <c r="C20" s="55" t="s">
        <v>102</v>
      </c>
      <c r="E20" s="250"/>
      <c r="F20" s="80">
        <v>170000000</v>
      </c>
      <c r="G20" s="80">
        <v>139456732</v>
      </c>
      <c r="H20" s="53">
        <v>102643976</v>
      </c>
      <c r="I20" s="342">
        <v>180000000</v>
      </c>
      <c r="J20" s="342">
        <v>51300000</v>
      </c>
      <c r="K20" s="342">
        <v>128700000</v>
      </c>
      <c r="L20" s="342"/>
      <c r="M20" s="342"/>
      <c r="N20" s="342"/>
      <c r="O20" s="342"/>
      <c r="P20" s="338"/>
      <c r="Q20" s="343"/>
      <c r="R20" s="340">
        <v>180000000</v>
      </c>
      <c r="S20" s="338" t="s">
        <v>432</v>
      </c>
      <c r="T20" s="341" t="s">
        <v>433</v>
      </c>
    </row>
    <row r="21" spans="1:21" ht="15.5" x14ac:dyDescent="0.35">
      <c r="B21" s="250"/>
      <c r="C21" s="268" t="s">
        <v>473</v>
      </c>
      <c r="D21" s="250"/>
      <c r="E21" s="250"/>
      <c r="F21" s="58">
        <f t="shared" ref="F21:K21" si="2">SUM(F6:F20)</f>
        <v>1012000000</v>
      </c>
      <c r="G21" s="58">
        <f t="shared" si="2"/>
        <v>1553482897.1600001</v>
      </c>
      <c r="H21" s="58">
        <f t="shared" si="2"/>
        <v>562389061.55999994</v>
      </c>
      <c r="I21" s="58">
        <f t="shared" si="2"/>
        <v>3174519533</v>
      </c>
      <c r="J21" s="58">
        <f t="shared" si="2"/>
        <v>2404071772.5574999</v>
      </c>
      <c r="K21" s="58">
        <f t="shared" si="2"/>
        <v>770447760.4425</v>
      </c>
      <c r="L21" s="308">
        <f t="shared" ref="L21:Q21" si="3">SUM(L4:L19)</f>
        <v>1809128</v>
      </c>
      <c r="M21" s="308">
        <f t="shared" si="3"/>
        <v>325643.03999999998</v>
      </c>
      <c r="N21" s="308">
        <f t="shared" si="3"/>
        <v>76855</v>
      </c>
      <c r="O21" s="308">
        <f t="shared" si="3"/>
        <v>2211626.04</v>
      </c>
      <c r="P21" s="308">
        <f t="shared" si="3"/>
        <v>0</v>
      </c>
      <c r="Q21" s="308">
        <f t="shared" si="3"/>
        <v>0</v>
      </c>
      <c r="R21" s="58">
        <f>SUM(R6:R20)</f>
        <v>856794462</v>
      </c>
      <c r="S21" s="3"/>
    </row>
    <row r="22" spans="1:21" x14ac:dyDescent="0.35">
      <c r="B22" s="287"/>
      <c r="C22" s="3"/>
      <c r="D22" s="287"/>
      <c r="E22" s="287"/>
      <c r="F22" s="273"/>
      <c r="G22" s="273"/>
      <c r="H22" s="273"/>
      <c r="I22" s="273"/>
      <c r="J22" s="273"/>
      <c r="K22" s="273"/>
      <c r="L22" s="273"/>
      <c r="M22" s="273"/>
      <c r="N22" s="273"/>
      <c r="O22" s="273"/>
      <c r="P22" s="273"/>
      <c r="Q22" s="273"/>
      <c r="R22" s="273"/>
      <c r="S22" s="3"/>
    </row>
    <row r="23" spans="1:21" x14ac:dyDescent="0.35">
      <c r="B23" s="3"/>
      <c r="C23" s="327" t="s">
        <v>34</v>
      </c>
      <c r="D23" s="3"/>
      <c r="E23" s="3"/>
      <c r="F23" s="3"/>
      <c r="G23" s="3"/>
      <c r="H23" s="3"/>
      <c r="I23" s="3"/>
      <c r="J23" s="3"/>
      <c r="K23" s="3"/>
      <c r="L23" s="3"/>
      <c r="M23" s="3"/>
      <c r="N23" s="3"/>
      <c r="O23" s="3"/>
      <c r="Q23" s="3"/>
      <c r="R23" s="3"/>
      <c r="S23" s="3"/>
    </row>
    <row r="24" spans="1:21" ht="15.5" x14ac:dyDescent="0.35">
      <c r="B24" s="132" t="s">
        <v>35</v>
      </c>
      <c r="C24" s="55"/>
      <c r="D24" s="87"/>
      <c r="E24" s="87"/>
      <c r="F24" s="80"/>
      <c r="G24" s="80"/>
      <c r="H24" s="80"/>
      <c r="I24" s="80"/>
      <c r="J24" s="80"/>
      <c r="K24" s="80"/>
      <c r="L24" s="53"/>
      <c r="M24" s="53"/>
      <c r="N24" s="53"/>
      <c r="O24" s="53"/>
      <c r="P24" s="55"/>
      <c r="Q24" s="52"/>
      <c r="R24" s="294"/>
      <c r="S24" s="52"/>
      <c r="T24" s="301"/>
    </row>
    <row r="25" spans="1:21" ht="101.5" x14ac:dyDescent="0.35">
      <c r="A25" s="3">
        <v>14</v>
      </c>
      <c r="B25" s="29">
        <v>1</v>
      </c>
      <c r="C25" s="82" t="s">
        <v>36</v>
      </c>
      <c r="D25" s="87"/>
      <c r="E25" s="87" t="s">
        <v>270</v>
      </c>
      <c r="F25" s="80">
        <v>110000000</v>
      </c>
      <c r="G25" s="80">
        <f>Annexures!D63</f>
        <v>110109161.06999999</v>
      </c>
      <c r="H25" s="80">
        <f>Annexures!M63</f>
        <v>54045479.07</v>
      </c>
      <c r="I25" s="80">
        <f>Annexures!O63</f>
        <v>736234735</v>
      </c>
      <c r="J25" s="80">
        <f>Annexures!P63</f>
        <v>550358771</v>
      </c>
      <c r="K25" s="80">
        <f>Annexures!Q63</f>
        <v>185875963</v>
      </c>
      <c r="L25" s="81">
        <v>22044</v>
      </c>
      <c r="M25" s="81">
        <f>L25*18%</f>
        <v>3967.92</v>
      </c>
      <c r="N25" s="81">
        <v>0</v>
      </c>
      <c r="O25" s="81">
        <f>L25+M25+N25</f>
        <v>26011.919999999998</v>
      </c>
      <c r="P25" s="55" t="s">
        <v>19</v>
      </c>
      <c r="Q25" s="86" t="s">
        <v>37</v>
      </c>
      <c r="R25" s="310">
        <v>125275142</v>
      </c>
      <c r="S25" s="311" t="s">
        <v>441</v>
      </c>
      <c r="T25" s="312" t="s">
        <v>468</v>
      </c>
      <c r="U25" s="3" t="s">
        <v>469</v>
      </c>
    </row>
    <row r="26" spans="1:21" ht="15.5" x14ac:dyDescent="0.35">
      <c r="B26" s="132" t="s">
        <v>39</v>
      </c>
      <c r="C26" s="55"/>
      <c r="D26" s="87"/>
      <c r="E26" s="87"/>
      <c r="F26" s="80"/>
      <c r="G26" s="80"/>
      <c r="H26" s="80"/>
      <c r="I26" s="80"/>
      <c r="J26" s="80"/>
      <c r="K26" s="80"/>
      <c r="L26" s="53"/>
      <c r="M26" s="53"/>
      <c r="N26" s="53"/>
      <c r="O26" s="53"/>
      <c r="P26" s="55"/>
      <c r="Q26" s="52"/>
      <c r="R26" s="294"/>
      <c r="S26" s="52"/>
      <c r="T26" s="301"/>
    </row>
    <row r="27" spans="1:21" ht="15.5" x14ac:dyDescent="0.35">
      <c r="B27" s="132" t="s">
        <v>40</v>
      </c>
      <c r="C27" s="134"/>
      <c r="D27" s="87"/>
      <c r="E27" s="87"/>
      <c r="F27" s="80"/>
      <c r="G27" s="80"/>
      <c r="H27" s="80"/>
      <c r="I27" s="80"/>
      <c r="J27" s="80"/>
      <c r="K27" s="80"/>
      <c r="L27" s="53"/>
      <c r="M27" s="53"/>
      <c r="N27" s="53"/>
      <c r="O27" s="53"/>
      <c r="P27" s="55"/>
      <c r="Q27" s="52"/>
      <c r="R27" s="294"/>
      <c r="S27" s="52"/>
      <c r="T27" s="301"/>
    </row>
    <row r="28" spans="1:21" ht="31" x14ac:dyDescent="0.35">
      <c r="A28" s="3">
        <v>15</v>
      </c>
      <c r="B28" s="218">
        <v>1</v>
      </c>
      <c r="C28" s="82" t="s">
        <v>282</v>
      </c>
      <c r="D28" s="87" t="s">
        <v>43</v>
      </c>
      <c r="E28" s="235" t="s">
        <v>267</v>
      </c>
      <c r="F28" s="80">
        <v>6032000</v>
      </c>
      <c r="G28" s="233">
        <f>Buildings!F9</f>
        <v>738266</v>
      </c>
      <c r="H28" s="233">
        <f>Buildings!H9</f>
        <v>1</v>
      </c>
      <c r="I28" s="233">
        <f>Buildings!L9</f>
        <v>26390000</v>
      </c>
      <c r="J28" s="233">
        <f>Buildings!M9</f>
        <v>20056400</v>
      </c>
      <c r="K28" s="233">
        <f>Buildings!N9</f>
        <v>6333600</v>
      </c>
      <c r="L28" s="53">
        <v>3921</v>
      </c>
      <c r="M28" s="53">
        <v>706</v>
      </c>
      <c r="N28" s="53"/>
      <c r="O28" s="81">
        <f t="shared" ref="O28:O34" si="4">L28+M28+N28</f>
        <v>4627</v>
      </c>
      <c r="P28" s="55" t="s">
        <v>44</v>
      </c>
      <c r="Q28" s="86" t="s">
        <v>42</v>
      </c>
      <c r="R28" s="282">
        <f>I28*15%</f>
        <v>3958500</v>
      </c>
      <c r="S28" s="281"/>
      <c r="T28" s="23" t="s">
        <v>442</v>
      </c>
    </row>
    <row r="29" spans="1:21" ht="31" x14ac:dyDescent="0.35">
      <c r="A29" s="3">
        <v>16</v>
      </c>
      <c r="B29" s="218">
        <v>2</v>
      </c>
      <c r="C29" s="82" t="s">
        <v>283</v>
      </c>
      <c r="D29" s="87" t="s">
        <v>46</v>
      </c>
      <c r="E29" s="235" t="s">
        <v>267</v>
      </c>
      <c r="F29" s="80">
        <v>2720000</v>
      </c>
      <c r="G29" s="233">
        <f>Buildings!F10</f>
        <v>2423675</v>
      </c>
      <c r="H29" s="233">
        <f>Buildings!H10</f>
        <v>824047</v>
      </c>
      <c r="I29" s="233">
        <f>Buildings!L10</f>
        <v>11900000</v>
      </c>
      <c r="J29" s="233">
        <f>Buildings!M10</f>
        <v>9044000</v>
      </c>
      <c r="K29" s="233">
        <f>Buildings!N10</f>
        <v>2856000</v>
      </c>
      <c r="L29" s="81">
        <v>1768</v>
      </c>
      <c r="M29" s="81">
        <f>L29*18%</f>
        <v>318.24</v>
      </c>
      <c r="N29" s="81">
        <v>0</v>
      </c>
      <c r="O29" s="81">
        <f t="shared" si="4"/>
        <v>2086.2399999999998</v>
      </c>
      <c r="P29" s="55" t="s">
        <v>44</v>
      </c>
      <c r="Q29" s="86" t="s">
        <v>42</v>
      </c>
      <c r="R29" s="295">
        <f>I29*15%</f>
        <v>1785000</v>
      </c>
      <c r="S29" s="281"/>
      <c r="T29" s="23" t="s">
        <v>442</v>
      </c>
    </row>
    <row r="30" spans="1:21" ht="29" x14ac:dyDescent="0.35">
      <c r="A30" s="3">
        <v>17</v>
      </c>
      <c r="B30" s="29">
        <v>3</v>
      </c>
      <c r="C30" s="55" t="s">
        <v>47</v>
      </c>
      <c r="D30" s="79" t="s">
        <v>307</v>
      </c>
      <c r="E30" s="29" t="s">
        <v>267</v>
      </c>
      <c r="F30" s="80">
        <v>3248000</v>
      </c>
      <c r="G30" s="233">
        <f>Buildings!F11</f>
        <v>3090011</v>
      </c>
      <c r="H30" s="233">
        <f>Buildings!H11</f>
        <v>1485816</v>
      </c>
      <c r="I30" s="233">
        <f>Buildings!L11</f>
        <v>24360000</v>
      </c>
      <c r="J30" s="233">
        <f>Buildings!M11</f>
        <v>3239880</v>
      </c>
      <c r="K30" s="233">
        <f>Buildings!N11</f>
        <v>21120120</v>
      </c>
      <c r="L30" s="81">
        <v>2111</v>
      </c>
      <c r="M30" s="81">
        <f>L30*18%</f>
        <v>379.97999999999996</v>
      </c>
      <c r="N30" s="81">
        <v>0</v>
      </c>
      <c r="O30" s="81">
        <f t="shared" si="4"/>
        <v>2490.98</v>
      </c>
      <c r="P30" s="55" t="s">
        <v>44</v>
      </c>
      <c r="Q30" s="86" t="s">
        <v>42</v>
      </c>
      <c r="R30" s="295">
        <f>I30*15%</f>
        <v>3654000</v>
      </c>
      <c r="S30" s="281"/>
      <c r="T30" s="23" t="s">
        <v>442</v>
      </c>
    </row>
    <row r="31" spans="1:21" ht="15.5" x14ac:dyDescent="0.35">
      <c r="B31" s="132" t="s">
        <v>49</v>
      </c>
      <c r="C31" s="55"/>
      <c r="D31" s="29"/>
      <c r="E31" s="29"/>
      <c r="F31" s="80"/>
      <c r="G31" s="80"/>
      <c r="H31" s="80"/>
      <c r="I31" s="80"/>
      <c r="J31" s="80"/>
      <c r="K31" s="80"/>
      <c r="L31" s="53"/>
      <c r="M31" s="53"/>
      <c r="N31" s="53"/>
      <c r="O31" s="81"/>
      <c r="P31" s="55"/>
      <c r="Q31" s="52"/>
      <c r="R31" s="296"/>
      <c r="S31" s="281"/>
      <c r="T31" s="55"/>
    </row>
    <row r="32" spans="1:21" ht="31.5" customHeight="1" x14ac:dyDescent="0.35">
      <c r="A32" s="3">
        <v>18</v>
      </c>
      <c r="B32" s="218">
        <v>4</v>
      </c>
      <c r="C32" s="82" t="s">
        <v>277</v>
      </c>
      <c r="D32" s="234" t="s">
        <v>51</v>
      </c>
      <c r="E32" s="232"/>
      <c r="F32" s="80">
        <v>22560000</v>
      </c>
      <c r="G32" s="233">
        <f>Buildings!F13</f>
        <v>460340</v>
      </c>
      <c r="H32" s="233">
        <f>Buildings!H13</f>
        <v>2</v>
      </c>
      <c r="I32" s="233">
        <f>Buildings!L13</f>
        <v>98700000</v>
      </c>
      <c r="J32" s="233">
        <f>Buildings!M13</f>
        <v>75012000</v>
      </c>
      <c r="K32" s="233">
        <f>Buildings!N13</f>
        <v>23688000</v>
      </c>
      <c r="L32" s="53"/>
      <c r="M32" s="53"/>
      <c r="N32" s="53"/>
      <c r="O32" s="81"/>
      <c r="P32" s="55"/>
      <c r="Q32" s="52"/>
      <c r="R32" s="295">
        <f>I32*15%</f>
        <v>14805000</v>
      </c>
      <c r="S32" s="281"/>
      <c r="T32" s="23" t="s">
        <v>442</v>
      </c>
    </row>
    <row r="33" spans="1:20" ht="31.5" customHeight="1" x14ac:dyDescent="0.35">
      <c r="A33" s="3">
        <v>19</v>
      </c>
      <c r="B33" s="218">
        <v>5</v>
      </c>
      <c r="C33" s="82" t="s">
        <v>400</v>
      </c>
      <c r="D33" s="234" t="s">
        <v>53</v>
      </c>
      <c r="E33" s="232"/>
      <c r="F33" s="80">
        <v>10320000</v>
      </c>
      <c r="G33" s="233">
        <f>Buildings!F14</f>
        <v>6551510.1099999994</v>
      </c>
      <c r="H33" s="233">
        <f>Buildings!H14</f>
        <v>1166709.1099999999</v>
      </c>
      <c r="I33" s="233">
        <f>Buildings!L14</f>
        <v>30100000</v>
      </c>
      <c r="J33" s="233">
        <f>Buildings!M14</f>
        <v>22876000</v>
      </c>
      <c r="K33" s="233">
        <f>Buildings!N14</f>
        <v>7224000</v>
      </c>
      <c r="L33" s="53"/>
      <c r="M33" s="53"/>
      <c r="N33" s="53"/>
      <c r="O33" s="81"/>
      <c r="P33" s="55"/>
      <c r="Q33" s="52"/>
      <c r="R33" s="295">
        <f>I33*15%</f>
        <v>4515000</v>
      </c>
      <c r="S33" s="281"/>
      <c r="T33" s="23" t="s">
        <v>442</v>
      </c>
    </row>
    <row r="34" spans="1:20" ht="31" x14ac:dyDescent="0.35">
      <c r="A34" s="3">
        <v>20</v>
      </c>
      <c r="B34" s="29">
        <v>6</v>
      </c>
      <c r="C34" s="82" t="s">
        <v>54</v>
      </c>
      <c r="D34" s="87" t="s">
        <v>55</v>
      </c>
      <c r="E34" s="87"/>
      <c r="F34" s="642">
        <v>18624000</v>
      </c>
      <c r="G34" s="642">
        <f>SUM(Buildings!F15:F18)</f>
        <v>1948190</v>
      </c>
      <c r="H34" s="642">
        <f>SUM(Buildings!H15:H18)</f>
        <v>4</v>
      </c>
      <c r="I34" s="642">
        <f>SUM(Buildings!L15:L18)</f>
        <v>139680000</v>
      </c>
      <c r="J34" s="642">
        <f>SUM(Buildings!M15:M18)</f>
        <v>106156800</v>
      </c>
      <c r="K34" s="642">
        <f>SUM(Buildings!N15:N18)</f>
        <v>33523200</v>
      </c>
      <c r="L34" s="633">
        <v>12106</v>
      </c>
      <c r="M34" s="633">
        <f>L34*18%</f>
        <v>2179.08</v>
      </c>
      <c r="N34" s="627">
        <v>0</v>
      </c>
      <c r="O34" s="634">
        <f t="shared" si="4"/>
        <v>14285.08</v>
      </c>
      <c r="P34" s="635" t="s">
        <v>44</v>
      </c>
      <c r="Q34" s="636" t="s">
        <v>42</v>
      </c>
      <c r="R34" s="664">
        <f>I34*15%</f>
        <v>20952000</v>
      </c>
      <c r="S34" s="246"/>
      <c r="T34" s="628" t="s">
        <v>442</v>
      </c>
    </row>
    <row r="35" spans="1:20" ht="31" x14ac:dyDescent="0.35">
      <c r="A35" s="3">
        <v>21</v>
      </c>
      <c r="B35" s="29">
        <v>7</v>
      </c>
      <c r="C35" s="82" t="s">
        <v>56</v>
      </c>
      <c r="D35" s="87" t="s">
        <v>57</v>
      </c>
      <c r="E35" s="87"/>
      <c r="F35" s="642"/>
      <c r="G35" s="642"/>
      <c r="H35" s="642"/>
      <c r="I35" s="642"/>
      <c r="J35" s="642"/>
      <c r="K35" s="642"/>
      <c r="L35" s="633"/>
      <c r="M35" s="633"/>
      <c r="N35" s="627"/>
      <c r="O35" s="634"/>
      <c r="P35" s="635"/>
      <c r="Q35" s="636"/>
      <c r="R35" s="664"/>
      <c r="S35" s="246"/>
      <c r="T35" s="628"/>
    </row>
    <row r="36" spans="1:20" ht="31" x14ac:dyDescent="0.35">
      <c r="A36" s="3">
        <v>22</v>
      </c>
      <c r="B36" s="29">
        <v>8</v>
      </c>
      <c r="C36" s="82" t="s">
        <v>58</v>
      </c>
      <c r="D36" s="87" t="s">
        <v>59</v>
      </c>
      <c r="E36" s="87"/>
      <c r="F36" s="642"/>
      <c r="G36" s="642"/>
      <c r="H36" s="642"/>
      <c r="I36" s="642"/>
      <c r="J36" s="642"/>
      <c r="K36" s="642"/>
      <c r="L36" s="633"/>
      <c r="M36" s="633"/>
      <c r="N36" s="627"/>
      <c r="O36" s="634"/>
      <c r="P36" s="635"/>
      <c r="Q36" s="636"/>
      <c r="R36" s="664"/>
      <c r="S36" s="246"/>
      <c r="T36" s="628"/>
    </row>
    <row r="37" spans="1:20" ht="31" x14ac:dyDescent="0.35">
      <c r="A37" s="3">
        <v>23</v>
      </c>
      <c r="B37" s="29">
        <v>9</v>
      </c>
      <c r="C37" s="82" t="s">
        <v>60</v>
      </c>
      <c r="D37" s="87" t="s">
        <v>61</v>
      </c>
      <c r="E37" s="87"/>
      <c r="F37" s="642"/>
      <c r="G37" s="642"/>
      <c r="H37" s="642"/>
      <c r="I37" s="642"/>
      <c r="J37" s="642"/>
      <c r="K37" s="642"/>
      <c r="L37" s="633"/>
      <c r="M37" s="633"/>
      <c r="N37" s="627"/>
      <c r="O37" s="634"/>
      <c r="P37" s="635"/>
      <c r="Q37" s="636"/>
      <c r="R37" s="665"/>
      <c r="S37" s="246"/>
      <c r="T37" s="628"/>
    </row>
    <row r="38" spans="1:20" ht="43.5" x14ac:dyDescent="0.35">
      <c r="A38" s="3">
        <v>24</v>
      </c>
      <c r="B38" s="29">
        <v>10</v>
      </c>
      <c r="C38" s="33" t="s">
        <v>62</v>
      </c>
      <c r="D38" s="79"/>
      <c r="E38" s="87" t="s">
        <v>270</v>
      </c>
      <c r="F38" s="80">
        <v>50000000</v>
      </c>
      <c r="G38" s="80">
        <f>Annexures!D101</f>
        <v>49144714.359999999</v>
      </c>
      <c r="H38" s="80">
        <f>Annexures!M101</f>
        <v>47144906.359999999</v>
      </c>
      <c r="I38" s="80">
        <f>Annexures!O101</f>
        <v>54175276</v>
      </c>
      <c r="J38" s="80">
        <f>Annexures!P101</f>
        <v>3859988</v>
      </c>
      <c r="K38" s="80">
        <f>Annexures!Q101</f>
        <v>50315287</v>
      </c>
      <c r="L38" s="81">
        <v>10020</v>
      </c>
      <c r="M38" s="81">
        <f>L38*18%</f>
        <v>1803.6</v>
      </c>
      <c r="N38" s="81">
        <v>0</v>
      </c>
      <c r="O38" s="81">
        <f t="shared" ref="O38:O104" si="5">L38+M38+N38</f>
        <v>11823.6</v>
      </c>
      <c r="P38" s="55" t="s">
        <v>19</v>
      </c>
      <c r="Q38" s="86" t="s">
        <v>37</v>
      </c>
      <c r="R38" s="297">
        <f>I38*15%</f>
        <v>8126291.3999999994</v>
      </c>
      <c r="S38" s="246"/>
      <c r="T38" s="283" t="s">
        <v>442</v>
      </c>
    </row>
    <row r="39" spans="1:20" ht="43.5" x14ac:dyDescent="0.35">
      <c r="A39" s="3">
        <v>25</v>
      </c>
      <c r="B39" s="29">
        <v>11</v>
      </c>
      <c r="C39" s="33" t="s">
        <v>63</v>
      </c>
      <c r="D39" s="79"/>
      <c r="E39" s="87" t="s">
        <v>270</v>
      </c>
      <c r="F39" s="80">
        <v>420000000</v>
      </c>
      <c r="G39" s="80">
        <f>Annexures!D105</f>
        <v>552251382.20000005</v>
      </c>
      <c r="H39" s="80">
        <f>Annexures!M105</f>
        <v>490580755.19999999</v>
      </c>
      <c r="I39" s="80">
        <f>Annexures!O105</f>
        <v>925930461</v>
      </c>
      <c r="J39" s="215">
        <f>Annexures!P105</f>
        <v>197917636</v>
      </c>
      <c r="K39" s="80">
        <f>Annexures!Q105</f>
        <v>728012825</v>
      </c>
      <c r="L39" s="81">
        <v>84168</v>
      </c>
      <c r="M39" s="81">
        <f>L39*18%</f>
        <v>15150.24</v>
      </c>
      <c r="N39" s="81">
        <v>0</v>
      </c>
      <c r="O39" s="81">
        <f t="shared" si="5"/>
        <v>99318.24</v>
      </c>
      <c r="P39" s="55" t="s">
        <v>19</v>
      </c>
      <c r="Q39" s="86" t="s">
        <v>37</v>
      </c>
      <c r="R39" s="298">
        <f>I39*50%</f>
        <v>462965230.5</v>
      </c>
      <c r="S39" s="246"/>
      <c r="T39" s="284" t="s">
        <v>443</v>
      </c>
    </row>
    <row r="40" spans="1:20" ht="43.5" x14ac:dyDescent="0.35">
      <c r="A40" s="3">
        <v>26</v>
      </c>
      <c r="B40" s="29">
        <v>12</v>
      </c>
      <c r="C40" s="33" t="s">
        <v>64</v>
      </c>
      <c r="D40" s="79"/>
      <c r="E40" s="79"/>
      <c r="F40" s="80">
        <v>150000000</v>
      </c>
      <c r="G40" s="80">
        <f>Annexures!D113</f>
        <v>32363534.640000001</v>
      </c>
      <c r="H40" s="80">
        <f>Annexures!M113</f>
        <v>1675178</v>
      </c>
      <c r="I40" s="80">
        <f>Annexures!O113</f>
        <v>286999498</v>
      </c>
      <c r="J40" s="80">
        <f>Annexures!P113</f>
        <v>20639478</v>
      </c>
      <c r="K40" s="80">
        <f>Annexures!Q113</f>
        <v>26522544</v>
      </c>
      <c r="L40" s="81">
        <v>30060</v>
      </c>
      <c r="M40" s="81">
        <f>L40*18%</f>
        <v>5410.8</v>
      </c>
      <c r="N40" s="81">
        <v>0</v>
      </c>
      <c r="O40" s="81">
        <f t="shared" si="5"/>
        <v>35470.800000000003</v>
      </c>
      <c r="P40" s="55" t="s">
        <v>19</v>
      </c>
      <c r="Q40" s="86" t="s">
        <v>37</v>
      </c>
      <c r="R40" s="304">
        <f>I40*15%</f>
        <v>43049924.699999996</v>
      </c>
      <c r="S40" s="246"/>
      <c r="T40" s="283" t="s">
        <v>442</v>
      </c>
    </row>
    <row r="41" spans="1:20" ht="15.5" x14ac:dyDescent="0.35">
      <c r="B41" s="132" t="s">
        <v>65</v>
      </c>
      <c r="C41" s="55"/>
      <c r="D41" s="87"/>
      <c r="E41" s="87"/>
      <c r="F41" s="80"/>
      <c r="G41" s="80"/>
      <c r="H41" s="80"/>
      <c r="I41" s="80"/>
      <c r="J41" s="80"/>
      <c r="K41" s="80"/>
      <c r="L41" s="81"/>
      <c r="M41" s="81"/>
      <c r="N41" s="81"/>
      <c r="O41" s="81"/>
      <c r="P41" s="55"/>
      <c r="Q41" s="52"/>
      <c r="R41" s="299"/>
      <c r="S41" s="52"/>
      <c r="T41" s="284"/>
    </row>
    <row r="42" spans="1:20" ht="31" x14ac:dyDescent="0.35">
      <c r="A42" s="3">
        <v>27</v>
      </c>
      <c r="B42" s="29">
        <v>13</v>
      </c>
      <c r="C42" s="82" t="s">
        <v>66</v>
      </c>
      <c r="D42" s="247" t="s">
        <v>67</v>
      </c>
      <c r="E42" s="247"/>
      <c r="F42" s="80">
        <v>54230000</v>
      </c>
      <c r="G42" s="80"/>
      <c r="H42" s="80"/>
      <c r="I42" s="233">
        <f>Buildings!L23</f>
        <v>72630000</v>
      </c>
      <c r="J42" s="233">
        <f>Buildings!M23</f>
        <v>6899850</v>
      </c>
      <c r="K42" s="233">
        <f>Buildings!N23</f>
        <v>65730150</v>
      </c>
      <c r="L42" s="83">
        <v>25081</v>
      </c>
      <c r="M42" s="84">
        <f>L42*18%</f>
        <v>4514.58</v>
      </c>
      <c r="N42" s="83">
        <v>0</v>
      </c>
      <c r="O42" s="81">
        <f t="shared" si="5"/>
        <v>29595.58</v>
      </c>
      <c r="P42" s="55" t="s">
        <v>19</v>
      </c>
      <c r="Q42" s="86" t="s">
        <v>42</v>
      </c>
      <c r="R42" s="304">
        <f>I42*50%</f>
        <v>36315000</v>
      </c>
      <c r="S42" s="246"/>
      <c r="T42" s="284" t="s">
        <v>443</v>
      </c>
    </row>
    <row r="43" spans="1:20" ht="31" x14ac:dyDescent="0.35">
      <c r="A43" s="3">
        <v>28</v>
      </c>
      <c r="B43" s="29">
        <v>14</v>
      </c>
      <c r="C43" s="82" t="s">
        <v>478</v>
      </c>
      <c r="D43" s="247" t="s">
        <v>69</v>
      </c>
      <c r="E43" s="247"/>
      <c r="F43" s="80">
        <v>28245000</v>
      </c>
      <c r="G43" s="80"/>
      <c r="H43" s="80"/>
      <c r="I43" s="233">
        <f>Buildings!L24</f>
        <v>24210000</v>
      </c>
      <c r="J43" s="233">
        <f>Buildings!M24</f>
        <v>2299950</v>
      </c>
      <c r="K43" s="233">
        <f>Buildings!N24</f>
        <v>21910050</v>
      </c>
      <c r="L43" s="83">
        <v>13063</v>
      </c>
      <c r="M43" s="84">
        <f>L43*18%</f>
        <v>2351.3399999999997</v>
      </c>
      <c r="N43" s="83">
        <v>0</v>
      </c>
      <c r="O43" s="81">
        <f t="shared" si="5"/>
        <v>15414.34</v>
      </c>
      <c r="P43" s="55" t="s">
        <v>19</v>
      </c>
      <c r="Q43" s="86" t="s">
        <v>42</v>
      </c>
      <c r="R43" s="304">
        <f>I43*50%</f>
        <v>12105000</v>
      </c>
      <c r="S43" s="246"/>
      <c r="T43" s="284" t="s">
        <v>443</v>
      </c>
    </row>
    <row r="44" spans="1:20" ht="43.5" x14ac:dyDescent="0.35">
      <c r="A44" s="3">
        <v>29</v>
      </c>
      <c r="B44" s="29">
        <v>15</v>
      </c>
      <c r="C44" s="33" t="s">
        <v>70</v>
      </c>
      <c r="D44" s="79"/>
      <c r="E44" s="79"/>
      <c r="F44" s="80">
        <v>395000000</v>
      </c>
      <c r="G44" s="80">
        <f>Annexures!D119</f>
        <v>436728707.77999997</v>
      </c>
      <c r="H44" s="80">
        <f>Annexures!M119</f>
        <v>288037985.77999997</v>
      </c>
      <c r="I44" s="80">
        <f>Annexures!O119</f>
        <v>1025873622</v>
      </c>
      <c r="J44" s="80">
        <f>Annexures!P119</f>
        <v>360594964</v>
      </c>
      <c r="K44" s="80">
        <f>Annexures!Q119</f>
        <v>665278658</v>
      </c>
      <c r="L44" s="81">
        <v>79158</v>
      </c>
      <c r="M44" s="81">
        <f>L44*18%</f>
        <v>14248.439999999999</v>
      </c>
      <c r="N44" s="81">
        <v>0</v>
      </c>
      <c r="O44" s="81">
        <f t="shared" si="5"/>
        <v>93406.44</v>
      </c>
      <c r="P44" s="55" t="s">
        <v>19</v>
      </c>
      <c r="Q44" s="86" t="s">
        <v>37</v>
      </c>
      <c r="R44" s="304">
        <f>I44*50%</f>
        <v>512936811</v>
      </c>
      <c r="S44" s="246"/>
      <c r="T44" s="284" t="s">
        <v>443</v>
      </c>
    </row>
    <row r="45" spans="1:20" ht="43.5" x14ac:dyDescent="0.35">
      <c r="A45" s="3">
        <v>30</v>
      </c>
      <c r="B45" s="29">
        <v>16</v>
      </c>
      <c r="C45" s="33" t="s">
        <v>470</v>
      </c>
      <c r="D45" s="13" t="s">
        <v>406</v>
      </c>
      <c r="E45" s="79"/>
      <c r="F45" s="80">
        <v>6325113</v>
      </c>
      <c r="G45" s="80"/>
      <c r="H45" s="80"/>
      <c r="I45" s="80">
        <f>Buildings!L36</f>
        <v>7366834.2000000002</v>
      </c>
      <c r="J45" s="80">
        <f>Buildings!M36</f>
        <v>419909.54939999996</v>
      </c>
      <c r="K45" s="80">
        <f>Buildings!N36</f>
        <v>6946924.6506000003</v>
      </c>
      <c r="L45" s="81">
        <v>1268</v>
      </c>
      <c r="M45" s="81">
        <f>L45*18%</f>
        <v>228.23999999999998</v>
      </c>
      <c r="N45" s="81">
        <v>0</v>
      </c>
      <c r="O45" s="81">
        <f t="shared" si="5"/>
        <v>1496.24</v>
      </c>
      <c r="P45" s="55" t="s">
        <v>19</v>
      </c>
      <c r="Q45" s="86" t="s">
        <v>37</v>
      </c>
      <c r="R45" s="304">
        <f>I45*50%</f>
        <v>3683417.1</v>
      </c>
      <c r="S45" s="246"/>
      <c r="T45" s="284" t="s">
        <v>443</v>
      </c>
    </row>
    <row r="46" spans="1:20" ht="17" x14ac:dyDescent="0.35">
      <c r="B46" s="136" t="s">
        <v>158</v>
      </c>
      <c r="C46" s="33"/>
      <c r="D46" s="79"/>
      <c r="E46" s="79"/>
      <c r="F46" s="80"/>
      <c r="G46" s="80"/>
      <c r="H46" s="80"/>
      <c r="I46" s="80"/>
      <c r="J46" s="80"/>
      <c r="K46" s="80"/>
      <c r="L46" s="53"/>
      <c r="M46" s="53"/>
      <c r="N46" s="53"/>
      <c r="O46" s="53"/>
      <c r="P46" s="55"/>
      <c r="Q46" s="52"/>
      <c r="R46" s="263"/>
      <c r="S46" s="52"/>
      <c r="T46" s="301"/>
    </row>
    <row r="47" spans="1:20" ht="31" x14ac:dyDescent="0.35">
      <c r="A47" s="55">
        <v>31</v>
      </c>
      <c r="B47" s="29">
        <v>1</v>
      </c>
      <c r="C47" s="33" t="s">
        <v>72</v>
      </c>
      <c r="D47" s="87" t="s">
        <v>74</v>
      </c>
      <c r="E47" s="87"/>
      <c r="F47" s="137">
        <v>9600000</v>
      </c>
      <c r="G47" s="137">
        <f>Annexures!D130</f>
        <v>3514332.45</v>
      </c>
      <c r="H47" s="137">
        <f>Annexures!M130</f>
        <v>13315</v>
      </c>
      <c r="I47" s="137">
        <f>Buildings!L28</f>
        <v>45936000</v>
      </c>
      <c r="J47" s="137">
        <f>Buildings!M28</f>
        <v>0</v>
      </c>
      <c r="K47" s="137">
        <f>Buildings!N28</f>
        <v>2296800</v>
      </c>
      <c r="L47" s="81">
        <v>2856</v>
      </c>
      <c r="M47" s="81">
        <f>L47*18/100</f>
        <v>514.08000000000004</v>
      </c>
      <c r="N47" s="135">
        <v>0</v>
      </c>
      <c r="O47" s="81">
        <f t="shared" si="5"/>
        <v>3370.08</v>
      </c>
      <c r="P47" s="55" t="s">
        <v>10</v>
      </c>
      <c r="Q47" s="32" t="s">
        <v>73</v>
      </c>
      <c r="R47" s="300">
        <f>I47*15%</f>
        <v>6890400</v>
      </c>
      <c r="S47" s="32"/>
      <c r="T47" s="283" t="s">
        <v>442</v>
      </c>
    </row>
    <row r="48" spans="1:20" ht="31" x14ac:dyDescent="0.35">
      <c r="A48" s="55">
        <v>32</v>
      </c>
      <c r="B48" s="29">
        <v>2</v>
      </c>
      <c r="C48" s="82" t="s">
        <v>75</v>
      </c>
      <c r="D48" s="87" t="s">
        <v>76</v>
      </c>
      <c r="E48" s="87"/>
      <c r="F48" s="137">
        <v>71700000</v>
      </c>
      <c r="G48" s="137">
        <f>Annexures!D139</f>
        <v>61298199.149999999</v>
      </c>
      <c r="H48" s="137">
        <f>Annexures!M139</f>
        <v>29744848.150000002</v>
      </c>
      <c r="I48" s="137">
        <f>Buildings!L29</f>
        <v>126104000</v>
      </c>
      <c r="J48" s="137">
        <f>Buildings!M29</f>
        <v>47919520</v>
      </c>
      <c r="K48" s="137">
        <f>Buildings!N29</f>
        <v>78184480</v>
      </c>
      <c r="L48" s="81">
        <v>15121</v>
      </c>
      <c r="M48" s="81">
        <f>L48*18/100</f>
        <v>2721.78</v>
      </c>
      <c r="N48" s="135">
        <v>0</v>
      </c>
      <c r="O48" s="81">
        <f t="shared" si="5"/>
        <v>17842.78</v>
      </c>
      <c r="P48" s="55" t="s">
        <v>10</v>
      </c>
      <c r="Q48" s="32" t="s">
        <v>73</v>
      </c>
      <c r="R48" s="304">
        <f>I48*50%</f>
        <v>63052000</v>
      </c>
      <c r="S48" s="32"/>
      <c r="T48" s="284" t="s">
        <v>443</v>
      </c>
    </row>
    <row r="49" spans="1:20" ht="31" x14ac:dyDescent="0.35">
      <c r="A49" s="55">
        <v>33</v>
      </c>
      <c r="B49" s="29">
        <v>3</v>
      </c>
      <c r="C49" s="82" t="s">
        <v>77</v>
      </c>
      <c r="D49" s="87" t="s">
        <v>78</v>
      </c>
      <c r="E49" s="87"/>
      <c r="F49" s="137">
        <v>7400000</v>
      </c>
      <c r="G49" s="137">
        <f>Annexures!D147</f>
        <v>2561884.81</v>
      </c>
      <c r="H49" s="137">
        <f>Annexures!M147</f>
        <v>1693336.81</v>
      </c>
      <c r="I49" s="137">
        <f>Buildings!L30</f>
        <v>35460000</v>
      </c>
      <c r="J49" s="137">
        <f>Buildings!M30</f>
        <v>0</v>
      </c>
      <c r="K49" s="137">
        <f>Buildings!N30</f>
        <v>1773000</v>
      </c>
      <c r="L49" s="81">
        <v>2220</v>
      </c>
      <c r="M49" s="81">
        <f>L49*18%</f>
        <v>399.59999999999997</v>
      </c>
      <c r="N49" s="81">
        <v>0</v>
      </c>
      <c r="O49" s="81">
        <f t="shared" si="5"/>
        <v>2619.6</v>
      </c>
      <c r="P49" s="55" t="s">
        <v>79</v>
      </c>
      <c r="Q49" s="32" t="s">
        <v>73</v>
      </c>
      <c r="R49" s="300">
        <f>I49*15%</f>
        <v>5319000</v>
      </c>
      <c r="S49" s="32"/>
      <c r="T49" s="283" t="s">
        <v>442</v>
      </c>
    </row>
    <row r="50" spans="1:20" ht="31" x14ac:dyDescent="0.35">
      <c r="A50" s="55">
        <v>34</v>
      </c>
      <c r="B50" s="29">
        <v>4</v>
      </c>
      <c r="C50" s="33" t="s">
        <v>80</v>
      </c>
      <c r="D50" s="87" t="s">
        <v>81</v>
      </c>
      <c r="E50" s="87"/>
      <c r="F50" s="137">
        <v>20600000</v>
      </c>
      <c r="G50" s="137">
        <f>Annexures!D150</f>
        <v>1012567</v>
      </c>
      <c r="H50" s="137">
        <f>Annexures!M150</f>
        <v>177194</v>
      </c>
      <c r="I50" s="137">
        <f>Buildings!L31</f>
        <v>29700000</v>
      </c>
      <c r="J50" s="137">
        <f>Buildings!M31</f>
        <v>19750500</v>
      </c>
      <c r="K50" s="137">
        <f>Buildings!N31</f>
        <v>9949500</v>
      </c>
      <c r="L50" s="81">
        <v>5029</v>
      </c>
      <c r="M50" s="81">
        <f>L50*18/100</f>
        <v>905.22</v>
      </c>
      <c r="N50" s="135">
        <v>0</v>
      </c>
      <c r="O50" s="81">
        <f t="shared" si="5"/>
        <v>5934.22</v>
      </c>
      <c r="P50" s="55" t="s">
        <v>10</v>
      </c>
      <c r="Q50" s="32" t="s">
        <v>73</v>
      </c>
      <c r="R50" s="300">
        <f>I50*15%</f>
        <v>4455000</v>
      </c>
      <c r="S50" s="32"/>
      <c r="T50" s="283" t="s">
        <v>442</v>
      </c>
    </row>
    <row r="51" spans="1:20" ht="31" x14ac:dyDescent="0.35">
      <c r="A51" s="55">
        <v>35</v>
      </c>
      <c r="B51" s="29">
        <v>5</v>
      </c>
      <c r="C51" s="33" t="s">
        <v>82</v>
      </c>
      <c r="D51" s="87" t="s">
        <v>83</v>
      </c>
      <c r="E51" s="87"/>
      <c r="F51" s="137">
        <v>5200000</v>
      </c>
      <c r="G51" s="137">
        <f>Annexures!D155</f>
        <v>447061</v>
      </c>
      <c r="H51" s="137">
        <f>Annexures!M155</f>
        <v>212384</v>
      </c>
      <c r="I51" s="137">
        <f>Buildings!L32</f>
        <v>24930000</v>
      </c>
      <c r="J51" s="137">
        <f>Buildings!M32</f>
        <v>16578450</v>
      </c>
      <c r="K51" s="137">
        <f>Buildings!N32</f>
        <v>8351550</v>
      </c>
      <c r="L51" s="81">
        <v>1560</v>
      </c>
      <c r="M51" s="81">
        <f>L51*18%</f>
        <v>280.8</v>
      </c>
      <c r="N51" s="81">
        <v>0</v>
      </c>
      <c r="O51" s="81">
        <f t="shared" si="5"/>
        <v>1840.8</v>
      </c>
      <c r="P51" s="55" t="s">
        <v>79</v>
      </c>
      <c r="Q51" s="32" t="s">
        <v>73</v>
      </c>
      <c r="R51" s="300">
        <f>I51*15%</f>
        <v>3739500</v>
      </c>
      <c r="S51" s="32"/>
      <c r="T51" s="283" t="s">
        <v>442</v>
      </c>
    </row>
    <row r="52" spans="1:20" ht="31" x14ac:dyDescent="0.35">
      <c r="A52" s="55">
        <v>36</v>
      </c>
      <c r="B52" s="29">
        <v>6</v>
      </c>
      <c r="C52" s="33" t="s">
        <v>84</v>
      </c>
      <c r="D52" s="87" t="s">
        <v>85</v>
      </c>
      <c r="E52" s="87"/>
      <c r="F52" s="137">
        <v>54900000</v>
      </c>
      <c r="G52" s="137">
        <f>Annexures!D158</f>
        <v>16031067.51</v>
      </c>
      <c r="H52" s="137">
        <f>Annexures!M158</f>
        <v>13356784.51</v>
      </c>
      <c r="I52" s="137">
        <f>Buildings!L33</f>
        <v>65934000</v>
      </c>
      <c r="J52" s="137">
        <f>Buildings!M33</f>
        <v>12527460</v>
      </c>
      <c r="K52" s="137">
        <f>Buildings!N33</f>
        <v>53406540</v>
      </c>
      <c r="L52" s="81">
        <v>11803</v>
      </c>
      <c r="M52" s="81">
        <f>L52*18/100</f>
        <v>2124.54</v>
      </c>
      <c r="N52" s="135">
        <v>0</v>
      </c>
      <c r="O52" s="81">
        <f>L52+M52+N52</f>
        <v>13927.54</v>
      </c>
      <c r="P52" s="55" t="s">
        <v>10</v>
      </c>
      <c r="Q52" s="32" t="s">
        <v>73</v>
      </c>
      <c r="R52" s="295">
        <f>I52*50%</f>
        <v>32967000</v>
      </c>
      <c r="S52" s="32"/>
      <c r="T52" s="284" t="s">
        <v>443</v>
      </c>
    </row>
    <row r="53" spans="1:20" ht="29" x14ac:dyDescent="0.35">
      <c r="A53" s="55">
        <v>37</v>
      </c>
      <c r="B53" s="250">
        <v>7</v>
      </c>
      <c r="C53" s="55" t="s">
        <v>401</v>
      </c>
      <c r="D53" s="23" t="s">
        <v>402</v>
      </c>
      <c r="E53" s="55"/>
      <c r="F53" s="324"/>
      <c r="G53" s="324"/>
      <c r="H53" s="324"/>
      <c r="I53" s="325">
        <f>Buildings!L34</f>
        <v>74900000</v>
      </c>
      <c r="J53" s="325">
        <f>Buildings!M34</f>
        <v>35577500</v>
      </c>
      <c r="K53" s="325">
        <f>Buildings!N34</f>
        <v>39322500</v>
      </c>
      <c r="L53" s="3"/>
      <c r="M53" s="3"/>
      <c r="N53" s="3"/>
      <c r="O53" s="3"/>
      <c r="Q53" s="3"/>
      <c r="R53" s="326">
        <f>I53*15%</f>
        <v>11235000</v>
      </c>
      <c r="S53" s="55"/>
      <c r="T53" s="283" t="s">
        <v>442</v>
      </c>
    </row>
    <row r="54" spans="1:20" ht="31" x14ac:dyDescent="0.35">
      <c r="A54" s="3">
        <v>38</v>
      </c>
      <c r="B54" s="244">
        <v>8</v>
      </c>
      <c r="C54" s="329" t="s">
        <v>408</v>
      </c>
      <c r="D54" s="330" t="s">
        <v>409</v>
      </c>
      <c r="E54" s="331"/>
      <c r="F54" s="332"/>
      <c r="G54" s="333">
        <f t="shared" ref="G54:Q54" si="6">G24+G27+G28+G29+G31+G32+G33+G37+G38+G39+G41+G42+G43+G44+G46+G47+G48+G49+G50+G51+G52+G53</f>
        <v>1133163707.3700001</v>
      </c>
      <c r="H54" s="333">
        <f t="shared" si="6"/>
        <v>872952268.91999984</v>
      </c>
      <c r="I54" s="333">
        <f t="shared" si="6"/>
        <v>2672873359</v>
      </c>
      <c r="J54" s="333">
        <f t="shared" si="6"/>
        <v>830914218</v>
      </c>
      <c r="K54" s="333">
        <f t="shared" si="6"/>
        <v>1764632940</v>
      </c>
      <c r="L54" s="333">
        <f t="shared" si="6"/>
        <v>255768</v>
      </c>
      <c r="M54" s="333">
        <f t="shared" si="6"/>
        <v>46038.460000000006</v>
      </c>
      <c r="N54" s="333">
        <f t="shared" si="6"/>
        <v>0</v>
      </c>
      <c r="O54" s="333">
        <f t="shared" si="6"/>
        <v>301806.4599999999</v>
      </c>
      <c r="P54" s="333" t="e">
        <f t="shared" si="6"/>
        <v>#VALUE!</v>
      </c>
      <c r="Q54" s="333" t="e">
        <f t="shared" si="6"/>
        <v>#VALUE!</v>
      </c>
      <c r="R54" s="334">
        <f>I54*50%</f>
        <v>1336436679.5</v>
      </c>
      <c r="S54" s="335"/>
      <c r="T54" s="336" t="s">
        <v>443</v>
      </c>
    </row>
    <row r="55" spans="1:20" ht="15.5" x14ac:dyDescent="0.35">
      <c r="A55" s="55"/>
      <c r="B55" s="250"/>
      <c r="C55" s="268" t="s">
        <v>472</v>
      </c>
      <c r="D55" s="13"/>
      <c r="E55" s="62"/>
      <c r="F55" s="334">
        <f>F25+F28+F29+F30+F32+F33+F34+F38+F39+F40+F42+F43+F44+F45+F47+F48+F49+F50+F51+F52+F53+F54</f>
        <v>1446704113</v>
      </c>
      <c r="G55" s="334">
        <f t="shared" ref="G55:R55" si="7">G25+G28+G29+G30+G32+G33+G34+G38+G39+G40+G42+G43+G44+G45+G47+G48+G49+G50+G51+G52+G53+G54</f>
        <v>2413838311.4499998</v>
      </c>
      <c r="H55" s="334">
        <f t="shared" si="7"/>
        <v>1803111014.9099998</v>
      </c>
      <c r="I55" s="334">
        <f t="shared" si="7"/>
        <v>6540387785.1999998</v>
      </c>
      <c r="J55" s="334">
        <f t="shared" si="7"/>
        <v>2342643274.5494003</v>
      </c>
      <c r="K55" s="334">
        <f t="shared" si="7"/>
        <v>3803254631.6506</v>
      </c>
      <c r="L55" s="334">
        <f t="shared" si="7"/>
        <v>579125</v>
      </c>
      <c r="M55" s="334">
        <f t="shared" si="7"/>
        <v>104242.94</v>
      </c>
      <c r="N55" s="334">
        <f t="shared" si="7"/>
        <v>0</v>
      </c>
      <c r="O55" s="334">
        <f t="shared" si="7"/>
        <v>683367.93999999971</v>
      </c>
      <c r="P55" s="334" t="e">
        <f t="shared" si="7"/>
        <v>#VALUE!</v>
      </c>
      <c r="Q55" s="334" t="e">
        <f t="shared" si="7"/>
        <v>#VALUE!</v>
      </c>
      <c r="R55" s="334">
        <f t="shared" si="7"/>
        <v>2718220896.1999998</v>
      </c>
      <c r="S55" s="264"/>
      <c r="T55" s="323"/>
    </row>
    <row r="56" spans="1:20" ht="15.5" x14ac:dyDescent="0.35">
      <c r="B56" s="287"/>
      <c r="C56" s="259"/>
      <c r="D56" s="256"/>
      <c r="E56" s="90"/>
      <c r="F56" s="90"/>
      <c r="G56" s="319"/>
      <c r="H56" s="320"/>
      <c r="I56" s="321"/>
      <c r="J56" s="321"/>
      <c r="K56" s="321"/>
      <c r="L56" s="313"/>
      <c r="M56" s="313"/>
      <c r="N56" s="313"/>
      <c r="O56" s="313"/>
      <c r="P56" s="98"/>
      <c r="Q56" s="264"/>
      <c r="R56" s="322"/>
      <c r="S56" s="264"/>
      <c r="T56" s="323"/>
    </row>
    <row r="57" spans="1:20" x14ac:dyDescent="0.35">
      <c r="B57" s="3"/>
      <c r="E57" s="3"/>
      <c r="F57" s="3"/>
      <c r="G57" s="3"/>
      <c r="H57" s="3"/>
      <c r="L57" s="3"/>
      <c r="M57" s="3"/>
      <c r="N57" s="3"/>
      <c r="O57" s="3"/>
      <c r="Q57" s="3"/>
      <c r="R57" s="3"/>
      <c r="S57" s="3"/>
    </row>
    <row r="58" spans="1:20" ht="19.5" x14ac:dyDescent="0.35">
      <c r="B58" s="133" t="s">
        <v>86</v>
      </c>
      <c r="C58" s="33"/>
      <c r="D58" s="79"/>
      <c r="E58" s="79"/>
      <c r="F58" s="80"/>
      <c r="G58" s="80"/>
      <c r="H58" s="80"/>
      <c r="I58" s="80"/>
      <c r="J58" s="80"/>
      <c r="K58" s="80"/>
      <c r="L58" s="53"/>
      <c r="M58" s="53"/>
      <c r="N58" s="53"/>
      <c r="O58" s="53"/>
      <c r="P58" s="55"/>
      <c r="Q58" s="52"/>
      <c r="R58" s="52"/>
      <c r="S58" s="52"/>
      <c r="T58" s="42"/>
    </row>
    <row r="59" spans="1:20" ht="29" x14ac:dyDescent="0.35">
      <c r="A59" s="3">
        <v>39</v>
      </c>
      <c r="B59" s="29">
        <v>1</v>
      </c>
      <c r="C59" s="82" t="s">
        <v>87</v>
      </c>
      <c r="D59" s="87">
        <v>1</v>
      </c>
      <c r="E59" s="87" t="s">
        <v>271</v>
      </c>
      <c r="F59" s="80">
        <v>17000000</v>
      </c>
      <c r="G59" s="80">
        <f>Mechanical!G6</f>
        <v>9940193</v>
      </c>
      <c r="H59" s="80">
        <f>Mechanical!H6</f>
        <v>728602</v>
      </c>
      <c r="I59" s="80">
        <f>Annexures!O162</f>
        <v>25000000</v>
      </c>
      <c r="J59" s="80">
        <f>Annexures!P162</f>
        <v>23750000</v>
      </c>
      <c r="K59" s="80">
        <f>Annexures!Q162</f>
        <v>1250000</v>
      </c>
      <c r="L59" s="83">
        <v>10263</v>
      </c>
      <c r="M59" s="84">
        <v>1847.34</v>
      </c>
      <c r="N59" s="83">
        <v>0</v>
      </c>
      <c r="O59" s="81">
        <f t="shared" si="5"/>
        <v>12110.34</v>
      </c>
      <c r="P59" s="55" t="s">
        <v>19</v>
      </c>
      <c r="Q59" s="86" t="s">
        <v>88</v>
      </c>
      <c r="R59" s="281">
        <v>1250000</v>
      </c>
      <c r="S59" s="23" t="s">
        <v>444</v>
      </c>
      <c r="T59" s="301"/>
    </row>
    <row r="60" spans="1:20" ht="58" x14ac:dyDescent="0.35">
      <c r="A60" s="3">
        <v>40</v>
      </c>
      <c r="B60" s="29">
        <v>2</v>
      </c>
      <c r="C60" s="82" t="s">
        <v>89</v>
      </c>
      <c r="D60" s="87">
        <v>1</v>
      </c>
      <c r="E60" s="87" t="s">
        <v>271</v>
      </c>
      <c r="F60" s="80">
        <v>140000000</v>
      </c>
      <c r="G60" s="80">
        <f>Annexures!D164</f>
        <v>104307906.2</v>
      </c>
      <c r="H60" s="80">
        <f>Annexures!M164</f>
        <v>37379380.409999996</v>
      </c>
      <c r="I60" s="80">
        <f>Annexures!O164</f>
        <v>200000000</v>
      </c>
      <c r="J60" s="80">
        <f>Annexures!P164</f>
        <v>133000000</v>
      </c>
      <c r="K60" s="80">
        <f>Annexures!Q164</f>
        <v>67000000</v>
      </c>
      <c r="L60" s="83">
        <v>67150</v>
      </c>
      <c r="M60" s="84">
        <v>12087</v>
      </c>
      <c r="N60" s="83">
        <v>0</v>
      </c>
      <c r="O60" s="81">
        <f t="shared" si="5"/>
        <v>79237</v>
      </c>
      <c r="P60" s="55" t="s">
        <v>19</v>
      </c>
      <c r="Q60" s="52" t="s">
        <v>88</v>
      </c>
      <c r="R60" s="281">
        <v>50000000</v>
      </c>
      <c r="S60" s="23" t="s">
        <v>445</v>
      </c>
      <c r="T60" s="301"/>
    </row>
    <row r="61" spans="1:20" ht="43.5" x14ac:dyDescent="0.35">
      <c r="A61" s="3">
        <v>41</v>
      </c>
      <c r="B61" s="29">
        <v>3</v>
      </c>
      <c r="C61" s="138" t="s">
        <v>90</v>
      </c>
      <c r="D61" s="87">
        <v>2</v>
      </c>
      <c r="E61" s="87" t="s">
        <v>271</v>
      </c>
      <c r="F61" s="80">
        <v>5000000</v>
      </c>
      <c r="G61" s="80">
        <f>Annexures!D169</f>
        <v>4762699.26</v>
      </c>
      <c r="H61" s="80">
        <f>Annexures!M169</f>
        <v>986791.26</v>
      </c>
      <c r="I61" s="80">
        <f>Annexures!O169</f>
        <v>5000000</v>
      </c>
      <c r="J61" s="80">
        <f>Annexures!P169</f>
        <v>3562500</v>
      </c>
      <c r="K61" s="80">
        <f>Annexures!Q169</f>
        <v>1437500</v>
      </c>
      <c r="L61" s="83">
        <v>4185</v>
      </c>
      <c r="M61" s="84">
        <v>753.3</v>
      </c>
      <c r="N61" s="83">
        <v>0</v>
      </c>
      <c r="O61" s="81">
        <f t="shared" si="5"/>
        <v>4938.3</v>
      </c>
      <c r="P61" s="55" t="s">
        <v>10</v>
      </c>
      <c r="Q61" s="86" t="s">
        <v>88</v>
      </c>
      <c r="R61" s="281">
        <v>843750</v>
      </c>
      <c r="S61" s="23" t="s">
        <v>446</v>
      </c>
      <c r="T61" s="301"/>
    </row>
    <row r="62" spans="1:20" ht="58" x14ac:dyDescent="0.35">
      <c r="A62" s="3">
        <v>42</v>
      </c>
      <c r="B62" s="29">
        <v>4</v>
      </c>
      <c r="C62" s="82" t="s">
        <v>91</v>
      </c>
      <c r="D62" s="87">
        <v>1</v>
      </c>
      <c r="E62" s="87" t="s">
        <v>271</v>
      </c>
      <c r="F62" s="80">
        <v>23420938</v>
      </c>
      <c r="G62" s="80">
        <f>Annexures!D172</f>
        <v>10513594</v>
      </c>
      <c r="H62" s="80">
        <f>Annexures!M172</f>
        <v>7021065</v>
      </c>
      <c r="I62" s="80">
        <f>Annexures!O172</f>
        <v>25000000</v>
      </c>
      <c r="J62" s="80">
        <f>Annexures!P172</f>
        <v>8906250</v>
      </c>
      <c r="K62" s="80">
        <f>Annexures!Q172</f>
        <v>16093750</v>
      </c>
      <c r="L62" s="83">
        <v>13232</v>
      </c>
      <c r="M62" s="84">
        <v>2381.7600000000002</v>
      </c>
      <c r="N62" s="84">
        <v>0</v>
      </c>
      <c r="O62" s="81">
        <f t="shared" si="5"/>
        <v>15613.76</v>
      </c>
      <c r="P62" s="55" t="s">
        <v>19</v>
      </c>
      <c r="Q62" s="52" t="s">
        <v>88</v>
      </c>
      <c r="R62" s="281">
        <v>10000000</v>
      </c>
      <c r="S62" s="23" t="s">
        <v>447</v>
      </c>
      <c r="T62" s="301"/>
    </row>
    <row r="63" spans="1:20" ht="31" x14ac:dyDescent="0.35">
      <c r="A63" s="3">
        <v>43</v>
      </c>
      <c r="B63" s="29">
        <v>5</v>
      </c>
      <c r="C63" s="82" t="s">
        <v>92</v>
      </c>
      <c r="D63" s="87">
        <v>2</v>
      </c>
      <c r="E63" s="87" t="s">
        <v>271</v>
      </c>
      <c r="F63" s="80">
        <v>1792124</v>
      </c>
      <c r="G63" s="80">
        <f>Annexures!D177</f>
        <v>807562</v>
      </c>
      <c r="H63" s="80">
        <f>Annexures!M177</f>
        <v>563910</v>
      </c>
      <c r="I63" s="80">
        <f>Annexures!O177</f>
        <v>1800000</v>
      </c>
      <c r="J63" s="80">
        <f>Annexures!P177</f>
        <v>641250</v>
      </c>
      <c r="K63" s="80">
        <f>Annexures!Q177</f>
        <v>1158750</v>
      </c>
      <c r="L63" s="83">
        <v>2180</v>
      </c>
      <c r="M63" s="84">
        <v>392.4</v>
      </c>
      <c r="N63" s="84">
        <v>0</v>
      </c>
      <c r="O63" s="81">
        <f t="shared" si="5"/>
        <v>2572.4</v>
      </c>
      <c r="P63" s="55" t="s">
        <v>10</v>
      </c>
      <c r="Q63" s="86" t="s">
        <v>88</v>
      </c>
      <c r="R63" s="301">
        <v>500000</v>
      </c>
      <c r="S63" s="23" t="s">
        <v>448</v>
      </c>
      <c r="T63" s="301"/>
    </row>
    <row r="64" spans="1:20" ht="31" x14ac:dyDescent="0.35">
      <c r="A64" s="3">
        <v>44</v>
      </c>
      <c r="B64" s="29">
        <v>6</v>
      </c>
      <c r="C64" s="82" t="s">
        <v>93</v>
      </c>
      <c r="D64" s="87">
        <v>1</v>
      </c>
      <c r="E64" s="87" t="s">
        <v>271</v>
      </c>
      <c r="F64" s="80">
        <v>1525078</v>
      </c>
      <c r="G64" s="80">
        <f>687227</f>
        <v>687227</v>
      </c>
      <c r="H64" s="80">
        <v>479883</v>
      </c>
      <c r="I64" s="80">
        <f>Annexures!O180</f>
        <v>1800000</v>
      </c>
      <c r="J64" s="80">
        <f>Annexures!P180</f>
        <v>641250</v>
      </c>
      <c r="K64" s="80">
        <f>Annexures!Q180</f>
        <v>1158750</v>
      </c>
      <c r="L64" s="83">
        <v>2013</v>
      </c>
      <c r="M64" s="84">
        <v>362.34</v>
      </c>
      <c r="N64" s="83">
        <v>0</v>
      </c>
      <c r="O64" s="81">
        <f t="shared" si="5"/>
        <v>2375.34</v>
      </c>
      <c r="P64" s="55" t="s">
        <v>10</v>
      </c>
      <c r="Q64" s="86" t="s">
        <v>88</v>
      </c>
      <c r="R64" s="301">
        <v>500000</v>
      </c>
      <c r="S64" s="23" t="s">
        <v>448</v>
      </c>
      <c r="T64" s="301"/>
    </row>
    <row r="65" spans="1:20" ht="31" x14ac:dyDescent="0.35">
      <c r="A65" s="3">
        <v>45</v>
      </c>
      <c r="B65" s="29">
        <v>7</v>
      </c>
      <c r="C65" s="82" t="s">
        <v>94</v>
      </c>
      <c r="D65" s="87"/>
      <c r="E65" s="87" t="s">
        <v>268</v>
      </c>
      <c r="F65" s="80">
        <v>176200000</v>
      </c>
      <c r="G65" s="80">
        <f>Annexures!D183</f>
        <v>183546150.33000001</v>
      </c>
      <c r="H65" s="80">
        <f>Annexures!M183</f>
        <v>89889354.329999998</v>
      </c>
      <c r="I65" s="80">
        <f>Annexures!O183</f>
        <v>183546150</v>
      </c>
      <c r="J65" s="80">
        <f>Annexures!P183</f>
        <v>76722290.700000003</v>
      </c>
      <c r="K65" s="80">
        <f>Annexures!Q183</f>
        <v>106823859.3</v>
      </c>
      <c r="L65" s="83">
        <v>81493</v>
      </c>
      <c r="M65" s="84">
        <f>L65*18/100</f>
        <v>14668.74</v>
      </c>
      <c r="N65" s="83">
        <v>0</v>
      </c>
      <c r="O65" s="81">
        <f t="shared" si="5"/>
        <v>96161.74</v>
      </c>
      <c r="P65" s="55" t="s">
        <v>19</v>
      </c>
      <c r="Q65" s="52" t="s">
        <v>18</v>
      </c>
      <c r="R65" s="281">
        <v>70000000</v>
      </c>
      <c r="S65" s="55" t="s">
        <v>449</v>
      </c>
      <c r="T65" s="301"/>
    </row>
    <row r="66" spans="1:20" ht="43.5" x14ac:dyDescent="0.35">
      <c r="A66" s="3">
        <v>46</v>
      </c>
      <c r="B66" s="29">
        <v>9</v>
      </c>
      <c r="C66" s="32" t="s">
        <v>96</v>
      </c>
      <c r="D66" s="79"/>
      <c r="E66" s="87" t="s">
        <v>268</v>
      </c>
      <c r="F66" s="80">
        <v>1750000</v>
      </c>
      <c r="G66" s="80">
        <f>Annexures!D189</f>
        <v>2731598</v>
      </c>
      <c r="H66" s="80">
        <f>Annexures!M189</f>
        <v>1725327</v>
      </c>
      <c r="I66" s="80">
        <f>Annexures!O189</f>
        <v>10000000</v>
      </c>
      <c r="J66" s="80">
        <f>Annexures!P189</f>
        <v>4750000</v>
      </c>
      <c r="K66" s="80">
        <f>Annexures!Q189</f>
        <v>5250000</v>
      </c>
      <c r="L66" s="83">
        <v>809</v>
      </c>
      <c r="M66" s="84">
        <f>L66*18/100</f>
        <v>145.62</v>
      </c>
      <c r="N66" s="83">
        <v>0</v>
      </c>
      <c r="O66" s="81">
        <f t="shared" si="5"/>
        <v>954.62</v>
      </c>
      <c r="P66" s="55" t="s">
        <v>19</v>
      </c>
      <c r="Q66" s="52" t="s">
        <v>18</v>
      </c>
      <c r="R66" s="281">
        <v>600000</v>
      </c>
      <c r="S66" s="23" t="s">
        <v>451</v>
      </c>
      <c r="T66" s="301"/>
    </row>
    <row r="67" spans="1:20" ht="43.5" x14ac:dyDescent="0.35">
      <c r="A67" s="55">
        <v>47</v>
      </c>
      <c r="B67" s="348">
        <v>10</v>
      </c>
      <c r="C67" s="347" t="s">
        <v>99</v>
      </c>
      <c r="D67" s="349"/>
      <c r="E67" s="349"/>
      <c r="F67" s="350">
        <v>40000000</v>
      </c>
      <c r="G67" s="80">
        <f>Annexures!D200</f>
        <v>6068816</v>
      </c>
      <c r="H67" s="80">
        <f>Annexures!M200</f>
        <v>32568951</v>
      </c>
      <c r="I67" s="80">
        <f>Annexures!O200</f>
        <v>68000000</v>
      </c>
      <c r="J67" s="80">
        <f>Annexures!P200</f>
        <v>19380000</v>
      </c>
      <c r="K67" s="80">
        <f>Annexures!Q200</f>
        <v>48620000</v>
      </c>
      <c r="L67" s="81">
        <v>18500</v>
      </c>
      <c r="M67" s="81">
        <f>L67*18/100</f>
        <v>3330</v>
      </c>
      <c r="N67" s="135">
        <v>0</v>
      </c>
      <c r="O67" s="81">
        <f t="shared" si="5"/>
        <v>21830</v>
      </c>
      <c r="P67" s="55" t="s">
        <v>19</v>
      </c>
      <c r="Q67" s="52" t="s">
        <v>18</v>
      </c>
      <c r="R67" s="281">
        <v>800000</v>
      </c>
      <c r="S67" s="23" t="s">
        <v>453</v>
      </c>
      <c r="T67" s="301"/>
    </row>
    <row r="68" spans="1:20" ht="72.5" x14ac:dyDescent="0.35">
      <c r="A68" s="55">
        <v>48</v>
      </c>
      <c r="B68" s="250">
        <v>11</v>
      </c>
      <c r="C68" s="32" t="s">
        <v>100</v>
      </c>
      <c r="D68" s="79"/>
      <c r="E68" s="79" t="s">
        <v>266</v>
      </c>
      <c r="F68" s="80">
        <v>12000000</v>
      </c>
      <c r="G68" s="80">
        <f>Annexures!D205</f>
        <v>20606536.079999998</v>
      </c>
      <c r="H68" s="80">
        <f>Annexures!M205</f>
        <v>11971068.08</v>
      </c>
      <c r="I68" s="80">
        <f>Annexures!O205</f>
        <v>30000000</v>
      </c>
      <c r="J68" s="80">
        <f>Annexures!P205</f>
        <v>11400000</v>
      </c>
      <c r="K68" s="80">
        <f>Annexures!Q205</f>
        <v>18600000</v>
      </c>
      <c r="L68" s="81">
        <v>5550</v>
      </c>
      <c r="M68" s="81">
        <f>L68*18/100</f>
        <v>999</v>
      </c>
      <c r="N68" s="135">
        <v>0</v>
      </c>
      <c r="O68" s="81">
        <f t="shared" si="5"/>
        <v>6549</v>
      </c>
      <c r="P68" s="55" t="s">
        <v>19</v>
      </c>
      <c r="Q68" s="52" t="s">
        <v>18</v>
      </c>
      <c r="R68" s="281">
        <v>10000000</v>
      </c>
      <c r="S68" s="23" t="s">
        <v>454</v>
      </c>
      <c r="T68" s="301"/>
    </row>
    <row r="69" spans="1:20" ht="60" customHeight="1" x14ac:dyDescent="0.35">
      <c r="A69" s="55">
        <v>49</v>
      </c>
      <c r="B69" s="250">
        <v>12</v>
      </c>
      <c r="C69" s="32" t="s">
        <v>471</v>
      </c>
      <c r="D69" s="79"/>
      <c r="E69" s="79"/>
      <c r="F69" s="80">
        <v>2500000</v>
      </c>
      <c r="G69" s="80"/>
      <c r="H69" s="80"/>
      <c r="I69" s="80">
        <f>Annexures!O208</f>
        <v>1500000</v>
      </c>
      <c r="J69" s="80">
        <f>Annexures!P208</f>
        <v>570000</v>
      </c>
      <c r="K69" s="80">
        <f>Annexures!Q208</f>
        <v>930000</v>
      </c>
      <c r="L69" s="81">
        <v>1156</v>
      </c>
      <c r="M69" s="81">
        <f>L69*18/100</f>
        <v>208.08</v>
      </c>
      <c r="N69" s="135">
        <v>0</v>
      </c>
      <c r="O69" s="81">
        <f t="shared" si="5"/>
        <v>1364.08</v>
      </c>
      <c r="P69" s="55" t="s">
        <v>19</v>
      </c>
      <c r="Q69" s="52" t="s">
        <v>18</v>
      </c>
      <c r="R69" s="281">
        <v>500000</v>
      </c>
      <c r="S69" s="23" t="s">
        <v>455</v>
      </c>
      <c r="T69" s="301"/>
    </row>
    <row r="70" spans="1:20" ht="60" customHeight="1" x14ac:dyDescent="0.35">
      <c r="A70" s="55">
        <v>50</v>
      </c>
      <c r="B70" s="250">
        <v>13</v>
      </c>
      <c r="C70" s="315" t="s">
        <v>456</v>
      </c>
      <c r="D70" s="287"/>
      <c r="E70" s="287"/>
      <c r="F70" s="273"/>
      <c r="G70" s="273">
        <v>9800000</v>
      </c>
      <c r="H70" s="273"/>
      <c r="I70" s="361">
        <v>9800000</v>
      </c>
      <c r="J70" s="361">
        <v>570000</v>
      </c>
      <c r="K70" s="361">
        <v>9489667</v>
      </c>
      <c r="L70" s="273"/>
      <c r="M70" s="273"/>
      <c r="N70" s="273"/>
      <c r="O70" s="289"/>
      <c r="P70" s="98"/>
      <c r="Q70" s="265"/>
      <c r="R70" s="316">
        <v>2500000</v>
      </c>
      <c r="S70" s="286" t="s">
        <v>457</v>
      </c>
    </row>
    <row r="71" spans="1:20" ht="60" customHeight="1" x14ac:dyDescent="0.35">
      <c r="B71" s="250">
        <v>14</v>
      </c>
      <c r="C71" s="314" t="s">
        <v>458</v>
      </c>
      <c r="D71" s="250"/>
      <c r="E71" s="250"/>
      <c r="F71" s="58"/>
      <c r="G71" s="58">
        <v>5875000</v>
      </c>
      <c r="H71" s="58"/>
      <c r="I71" s="137">
        <v>7500000</v>
      </c>
      <c r="J71" s="137">
        <v>223250</v>
      </c>
      <c r="K71" s="137">
        <v>7262500</v>
      </c>
      <c r="L71" s="58"/>
      <c r="M71" s="58"/>
      <c r="N71" s="58"/>
      <c r="O71" s="57"/>
      <c r="P71" s="55"/>
      <c r="Q71" s="33"/>
      <c r="R71" s="281">
        <v>1500000</v>
      </c>
      <c r="S71" s="302" t="s">
        <v>459</v>
      </c>
    </row>
    <row r="72" spans="1:20" ht="60" customHeight="1" x14ac:dyDescent="0.35">
      <c r="A72" s="55">
        <v>51</v>
      </c>
      <c r="B72" s="250">
        <v>15</v>
      </c>
      <c r="C72" s="314" t="s">
        <v>460</v>
      </c>
      <c r="D72" s="250"/>
      <c r="E72" s="250"/>
      <c r="F72" s="58"/>
      <c r="G72" s="58">
        <v>24600000</v>
      </c>
      <c r="H72" s="58"/>
      <c r="I72" s="137">
        <v>24600000</v>
      </c>
      <c r="J72" s="137">
        <f>I72-K72</f>
        <v>779000</v>
      </c>
      <c r="K72" s="137">
        <v>23821000</v>
      </c>
      <c r="L72" s="58"/>
      <c r="M72" s="58"/>
      <c r="N72" s="58"/>
      <c r="O72" s="57"/>
      <c r="P72" s="55"/>
      <c r="Q72" s="33"/>
      <c r="R72" s="281">
        <v>2500000</v>
      </c>
      <c r="S72" s="302" t="s">
        <v>461</v>
      </c>
    </row>
    <row r="73" spans="1:20" ht="60" customHeight="1" x14ac:dyDescent="0.35">
      <c r="A73" s="55">
        <v>52</v>
      </c>
      <c r="B73" s="250">
        <v>16</v>
      </c>
      <c r="C73" s="82" t="s">
        <v>462</v>
      </c>
      <c r="D73" s="250"/>
      <c r="E73" s="250"/>
      <c r="F73" s="58"/>
      <c r="G73" s="58">
        <v>2800000</v>
      </c>
      <c r="H73" s="58"/>
      <c r="I73" s="137">
        <v>2800000</v>
      </c>
      <c r="J73" s="58">
        <v>177333</v>
      </c>
      <c r="K73" s="55">
        <v>2622667</v>
      </c>
      <c r="L73" s="58"/>
      <c r="M73" s="58"/>
      <c r="N73" s="58"/>
      <c r="O73" s="57"/>
      <c r="P73" s="55"/>
      <c r="Q73" s="33"/>
      <c r="R73" s="281">
        <v>750000</v>
      </c>
      <c r="S73" s="23" t="s">
        <v>463</v>
      </c>
    </row>
    <row r="74" spans="1:20" ht="60" customHeight="1" x14ac:dyDescent="0.35">
      <c r="A74" s="98">
        <v>53</v>
      </c>
      <c r="B74" s="250"/>
      <c r="C74" s="317" t="s">
        <v>474</v>
      </c>
      <c r="D74" s="250"/>
      <c r="E74" s="250"/>
      <c r="F74" s="58">
        <f>F59+F60+F61+F62+F63+F64+F65+F66+F67+F68+F69+F70+F71+F72+F73</f>
        <v>421188140</v>
      </c>
      <c r="G74" s="58">
        <f>G59+G60+G61+G62+G63+G64+G65+G66+G67+G68+G69+G70+G71+G72+G73</f>
        <v>387047281.87</v>
      </c>
      <c r="H74" s="58">
        <f t="shared" ref="H74:R74" si="8">H59+H60+H61+H62+H63+H64+H65+H66+H67+H68+H69+H70+H71+H72+H73</f>
        <v>183314332.08000001</v>
      </c>
      <c r="I74" s="58">
        <f t="shared" si="8"/>
        <v>596346150</v>
      </c>
      <c r="J74" s="58">
        <f t="shared" si="8"/>
        <v>285073123.69999999</v>
      </c>
      <c r="K74" s="58">
        <f t="shared" si="8"/>
        <v>311518443.30000001</v>
      </c>
      <c r="L74" s="58">
        <f t="shared" si="8"/>
        <v>206531</v>
      </c>
      <c r="M74" s="58">
        <f t="shared" si="8"/>
        <v>37175.58</v>
      </c>
      <c r="N74" s="58">
        <f t="shared" si="8"/>
        <v>0</v>
      </c>
      <c r="O74" s="58">
        <f t="shared" si="8"/>
        <v>243706.58</v>
      </c>
      <c r="P74" s="58" t="e">
        <f t="shared" si="8"/>
        <v>#VALUE!</v>
      </c>
      <c r="Q74" s="58" t="e">
        <f t="shared" si="8"/>
        <v>#VALUE!</v>
      </c>
      <c r="R74" s="58">
        <f t="shared" si="8"/>
        <v>152243750</v>
      </c>
      <c r="S74" s="23"/>
    </row>
    <row r="75" spans="1:20" ht="60" customHeight="1" x14ac:dyDescent="0.35">
      <c r="A75" s="98"/>
      <c r="B75" s="250"/>
      <c r="C75" s="317"/>
      <c r="D75" s="250"/>
      <c r="E75" s="250"/>
      <c r="F75" s="58"/>
      <c r="G75" s="58"/>
      <c r="H75" s="58"/>
      <c r="I75" s="58"/>
      <c r="J75" s="58"/>
      <c r="K75" s="55"/>
      <c r="L75" s="58"/>
      <c r="M75" s="58"/>
      <c r="N75" s="58"/>
      <c r="O75" s="57"/>
      <c r="P75" s="55"/>
      <c r="Q75" s="33"/>
      <c r="R75" s="281"/>
      <c r="S75" s="23"/>
    </row>
    <row r="76" spans="1:20" ht="19.5" x14ac:dyDescent="0.35">
      <c r="B76" s="133" t="s">
        <v>104</v>
      </c>
      <c r="C76" s="55"/>
      <c r="D76" s="79"/>
      <c r="E76" s="79"/>
      <c r="F76" s="80"/>
      <c r="G76" s="80"/>
      <c r="H76" s="80"/>
      <c r="I76" s="80"/>
      <c r="J76" s="80"/>
      <c r="K76" s="80"/>
      <c r="L76" s="53"/>
      <c r="M76" s="53"/>
      <c r="N76" s="53"/>
      <c r="O76" s="81"/>
      <c r="P76" s="55"/>
      <c r="Q76" s="52"/>
      <c r="R76" s="52"/>
      <c r="S76" s="52"/>
      <c r="T76" s="301"/>
    </row>
    <row r="77" spans="1:20" ht="15.5" x14ac:dyDescent="0.35">
      <c r="B77" s="132" t="s">
        <v>105</v>
      </c>
      <c r="C77" s="32"/>
      <c r="D77" s="79"/>
      <c r="E77" s="79"/>
      <c r="F77" s="80"/>
      <c r="G77" s="80"/>
      <c r="H77" s="80"/>
      <c r="I77" s="80"/>
      <c r="J77" s="80"/>
      <c r="K77" s="80"/>
      <c r="L77" s="53"/>
      <c r="M77" s="53"/>
      <c r="N77" s="53"/>
      <c r="O77" s="81"/>
      <c r="P77" s="55"/>
      <c r="Q77" s="52"/>
      <c r="R77" s="52"/>
      <c r="S77" s="52"/>
      <c r="T77" s="301"/>
    </row>
    <row r="78" spans="1:20" ht="29" x14ac:dyDescent="0.35">
      <c r="A78" s="55">
        <v>54</v>
      </c>
      <c r="B78" s="29">
        <v>1</v>
      </c>
      <c r="C78" s="82" t="s">
        <v>106</v>
      </c>
      <c r="D78" s="87">
        <v>3</v>
      </c>
      <c r="E78" s="87"/>
      <c r="F78" s="80">
        <f>977800+1955600</f>
        <v>2933400</v>
      </c>
      <c r="G78" s="80"/>
      <c r="H78" s="80"/>
      <c r="I78" s="80">
        <f>EDP!J7</f>
        <v>3840000</v>
      </c>
      <c r="J78" s="80">
        <f>EDP!K7</f>
        <v>3648000</v>
      </c>
      <c r="K78" s="80">
        <f>EDP!L7</f>
        <v>192000</v>
      </c>
      <c r="L78" s="81">
        <v>11147</v>
      </c>
      <c r="M78" s="81">
        <f t="shared" ref="M78:M90" si="9">L78*18%</f>
        <v>2006.46</v>
      </c>
      <c r="N78" s="135">
        <v>0</v>
      </c>
      <c r="O78" s="81">
        <f t="shared" si="5"/>
        <v>13153.46</v>
      </c>
      <c r="P78" s="55" t="s">
        <v>44</v>
      </c>
      <c r="Q78" s="86" t="s">
        <v>107</v>
      </c>
      <c r="R78" s="80">
        <f>I78*30%</f>
        <v>1152000</v>
      </c>
      <c r="S78" s="80" t="s">
        <v>465</v>
      </c>
      <c r="T78" s="80"/>
    </row>
    <row r="79" spans="1:20" ht="31" x14ac:dyDescent="0.35">
      <c r="A79" s="55">
        <v>55</v>
      </c>
      <c r="B79" s="29">
        <v>2</v>
      </c>
      <c r="C79" s="82" t="s">
        <v>108</v>
      </c>
      <c r="D79" s="87">
        <v>1</v>
      </c>
      <c r="E79" s="87"/>
      <c r="F79" s="80">
        <v>615000</v>
      </c>
      <c r="G79" s="80"/>
      <c r="H79" s="80"/>
      <c r="I79" s="80">
        <f>EDP!J8</f>
        <v>768000</v>
      </c>
      <c r="J79" s="80">
        <f>EDP!K8</f>
        <v>729600</v>
      </c>
      <c r="K79" s="80">
        <f>EDP!L8</f>
        <v>38400</v>
      </c>
      <c r="L79" s="81">
        <v>3075</v>
      </c>
      <c r="M79" s="81">
        <f t="shared" si="9"/>
        <v>553.5</v>
      </c>
      <c r="N79" s="81">
        <v>0</v>
      </c>
      <c r="O79" s="81">
        <f t="shared" si="5"/>
        <v>3628.5</v>
      </c>
      <c r="P79" s="55" t="s">
        <v>79</v>
      </c>
      <c r="Q79" s="86" t="s">
        <v>107</v>
      </c>
      <c r="R79" s="80">
        <f>I79*30%</f>
        <v>230400</v>
      </c>
      <c r="S79" s="80" t="s">
        <v>465</v>
      </c>
      <c r="T79" s="80"/>
    </row>
    <row r="80" spans="1:20" ht="29" x14ac:dyDescent="0.35">
      <c r="A80" s="55">
        <v>56</v>
      </c>
      <c r="B80" s="29">
        <v>3</v>
      </c>
      <c r="C80" s="82" t="s">
        <v>109</v>
      </c>
      <c r="D80" s="87">
        <v>1</v>
      </c>
      <c r="E80" s="87"/>
      <c r="F80" s="80">
        <v>626000</v>
      </c>
      <c r="G80" s="80"/>
      <c r="H80" s="80"/>
      <c r="I80" s="80">
        <f>EDP!J9</f>
        <v>768000</v>
      </c>
      <c r="J80" s="80">
        <f t="shared" ref="J80:J86" si="10">I80*0.95</f>
        <v>729600</v>
      </c>
      <c r="K80" s="80">
        <f>EDP!L9</f>
        <v>38400</v>
      </c>
      <c r="L80" s="81">
        <v>3130</v>
      </c>
      <c r="M80" s="81">
        <f t="shared" si="9"/>
        <v>563.4</v>
      </c>
      <c r="N80" s="81">
        <v>0</v>
      </c>
      <c r="O80" s="81">
        <f t="shared" si="5"/>
        <v>3693.4</v>
      </c>
      <c r="P80" s="55" t="s">
        <v>79</v>
      </c>
      <c r="Q80" s="86" t="s">
        <v>107</v>
      </c>
      <c r="R80" s="80">
        <f>I80*30%</f>
        <v>230400</v>
      </c>
      <c r="S80" s="80" t="s">
        <v>465</v>
      </c>
      <c r="T80" s="80"/>
    </row>
    <row r="81" spans="1:22" ht="29" x14ac:dyDescent="0.35">
      <c r="A81" s="55">
        <v>57</v>
      </c>
      <c r="B81" s="29">
        <v>4</v>
      </c>
      <c r="C81" s="82" t="s">
        <v>110</v>
      </c>
      <c r="D81" s="87">
        <v>1</v>
      </c>
      <c r="E81" s="87"/>
      <c r="F81" s="80">
        <v>1080542</v>
      </c>
      <c r="G81" s="80"/>
      <c r="H81" s="80"/>
      <c r="I81" s="80">
        <f>EDP!J10</f>
        <v>1800000</v>
      </c>
      <c r="J81" s="80">
        <f>EDP!K10</f>
        <v>1710000</v>
      </c>
      <c r="K81" s="80">
        <f>EDP!L10</f>
        <v>90000</v>
      </c>
      <c r="L81" s="81">
        <v>5403</v>
      </c>
      <c r="M81" s="81">
        <f t="shared" si="9"/>
        <v>972.54</v>
      </c>
      <c r="N81" s="81">
        <v>0</v>
      </c>
      <c r="O81" s="81">
        <f t="shared" si="5"/>
        <v>6375.54</v>
      </c>
      <c r="P81" s="55" t="s">
        <v>79</v>
      </c>
      <c r="Q81" s="86" t="s">
        <v>107</v>
      </c>
      <c r="R81" s="80">
        <f>I81*30%</f>
        <v>540000</v>
      </c>
      <c r="S81" s="80" t="s">
        <v>465</v>
      </c>
      <c r="T81" s="80"/>
    </row>
    <row r="82" spans="1:22" ht="29" x14ac:dyDescent="0.35">
      <c r="A82" s="55">
        <v>58</v>
      </c>
      <c r="B82" s="29">
        <v>5</v>
      </c>
      <c r="C82" s="82" t="s">
        <v>111</v>
      </c>
      <c r="D82" s="87">
        <v>4</v>
      </c>
      <c r="E82" s="87"/>
      <c r="F82" s="80">
        <f>930000+2790000</f>
        <v>3720000</v>
      </c>
      <c r="G82" s="80"/>
      <c r="H82" s="80"/>
      <c r="I82" s="80">
        <f>EDP!J11</f>
        <v>5400000</v>
      </c>
      <c r="J82" s="80">
        <f t="shared" si="10"/>
        <v>5130000</v>
      </c>
      <c r="K82" s="80">
        <f>EDP!L11</f>
        <v>270000</v>
      </c>
      <c r="L82" s="81">
        <v>10602</v>
      </c>
      <c r="M82" s="81">
        <f t="shared" si="9"/>
        <v>1908.36</v>
      </c>
      <c r="N82" s="135">
        <v>0</v>
      </c>
      <c r="O82" s="81">
        <f t="shared" si="5"/>
        <v>12510.36</v>
      </c>
      <c r="P82" s="55" t="s">
        <v>44</v>
      </c>
      <c r="Q82" s="86" t="s">
        <v>107</v>
      </c>
      <c r="R82" s="80">
        <f>K82*30%</f>
        <v>81000</v>
      </c>
      <c r="S82" s="80" t="s">
        <v>465</v>
      </c>
      <c r="T82" s="80"/>
    </row>
    <row r="83" spans="1:22" ht="31" x14ac:dyDescent="0.35">
      <c r="A83" s="55">
        <v>59</v>
      </c>
      <c r="B83" s="29">
        <v>6</v>
      </c>
      <c r="C83" s="82" t="s">
        <v>112</v>
      </c>
      <c r="D83" s="87">
        <v>1</v>
      </c>
      <c r="E83" s="87"/>
      <c r="F83" s="80">
        <v>1862000</v>
      </c>
      <c r="G83" s="80"/>
      <c r="H83" s="80"/>
      <c r="I83" s="80">
        <f>EDP!J12</f>
        <v>2380000</v>
      </c>
      <c r="J83" s="80">
        <f>EDP!K12</f>
        <v>2261000</v>
      </c>
      <c r="K83" s="80">
        <f>EDP!L12</f>
        <v>119000</v>
      </c>
      <c r="L83" s="81">
        <v>9310</v>
      </c>
      <c r="M83" s="81">
        <f t="shared" si="9"/>
        <v>1675.8</v>
      </c>
      <c r="N83" s="81">
        <v>0</v>
      </c>
      <c r="O83" s="81">
        <f t="shared" si="5"/>
        <v>10985.8</v>
      </c>
      <c r="P83" s="55" t="s">
        <v>79</v>
      </c>
      <c r="Q83" s="86" t="s">
        <v>107</v>
      </c>
      <c r="R83" s="80">
        <f>K83*30%</f>
        <v>35700</v>
      </c>
      <c r="S83" s="80" t="s">
        <v>465</v>
      </c>
      <c r="T83" s="80"/>
    </row>
    <row r="84" spans="1:22" ht="29" x14ac:dyDescent="0.35">
      <c r="A84" s="55">
        <v>60</v>
      </c>
      <c r="B84" s="29">
        <v>7</v>
      </c>
      <c r="C84" s="32" t="s">
        <v>113</v>
      </c>
      <c r="D84" s="79">
        <v>1</v>
      </c>
      <c r="E84" s="79"/>
      <c r="F84" s="80">
        <v>652000</v>
      </c>
      <c r="G84" s="80"/>
      <c r="H84" s="80"/>
      <c r="I84" s="80">
        <f>EDP!J13</f>
        <v>840000</v>
      </c>
      <c r="J84" s="80">
        <f>EDP!K13</f>
        <v>798000</v>
      </c>
      <c r="K84" s="80">
        <f>EDP!L13</f>
        <v>42000</v>
      </c>
      <c r="L84" s="81">
        <v>3260</v>
      </c>
      <c r="M84" s="81">
        <f t="shared" si="9"/>
        <v>586.79999999999995</v>
      </c>
      <c r="N84" s="81">
        <v>0</v>
      </c>
      <c r="O84" s="81">
        <f t="shared" si="5"/>
        <v>3846.8</v>
      </c>
      <c r="P84" s="55" t="s">
        <v>79</v>
      </c>
      <c r="Q84" s="86" t="s">
        <v>107</v>
      </c>
      <c r="R84" s="80">
        <f>K84*30%</f>
        <v>12600</v>
      </c>
      <c r="S84" s="80" t="s">
        <v>465</v>
      </c>
      <c r="T84" s="80"/>
    </row>
    <row r="85" spans="1:22" ht="29" x14ac:dyDescent="0.35">
      <c r="A85" s="55">
        <v>61</v>
      </c>
      <c r="B85" s="29">
        <v>8</v>
      </c>
      <c r="C85" s="89" t="s">
        <v>114</v>
      </c>
      <c r="D85" s="29">
        <v>2</v>
      </c>
      <c r="E85" s="29"/>
      <c r="F85" s="131">
        <v>255000</v>
      </c>
      <c r="G85" s="131"/>
      <c r="H85" s="131"/>
      <c r="I85" s="80">
        <f>EDP!J14</f>
        <v>350000</v>
      </c>
      <c r="J85" s="80">
        <f>EDP!K14</f>
        <v>332500</v>
      </c>
      <c r="K85" s="80">
        <f>EDP!L14</f>
        <v>17500</v>
      </c>
      <c r="L85" s="81">
        <v>1275</v>
      </c>
      <c r="M85" s="81">
        <f t="shared" si="9"/>
        <v>229.5</v>
      </c>
      <c r="N85" s="81">
        <v>0</v>
      </c>
      <c r="O85" s="81">
        <f t="shared" si="5"/>
        <v>1504.5</v>
      </c>
      <c r="P85" s="55" t="s">
        <v>79</v>
      </c>
      <c r="Q85" s="86" t="s">
        <v>107</v>
      </c>
      <c r="R85" s="80">
        <f>I85*30%</f>
        <v>105000</v>
      </c>
      <c r="S85" s="80" t="s">
        <v>465</v>
      </c>
      <c r="T85" s="80"/>
    </row>
    <row r="86" spans="1:22" ht="29" x14ac:dyDescent="0.35">
      <c r="A86" s="55">
        <v>62</v>
      </c>
      <c r="B86" s="29">
        <v>9</v>
      </c>
      <c r="C86" s="32" t="s">
        <v>115</v>
      </c>
      <c r="D86" s="79">
        <v>1</v>
      </c>
      <c r="E86" s="79"/>
      <c r="F86" s="80">
        <v>500000</v>
      </c>
      <c r="G86" s="80"/>
      <c r="H86" s="80"/>
      <c r="I86" s="80">
        <f>EDP!J15</f>
        <v>795000</v>
      </c>
      <c r="J86" s="80">
        <f t="shared" si="10"/>
        <v>755250</v>
      </c>
      <c r="K86" s="80">
        <f>EDP!L15</f>
        <v>190800</v>
      </c>
      <c r="L86" s="81">
        <v>2500</v>
      </c>
      <c r="M86" s="81">
        <f t="shared" si="9"/>
        <v>450</v>
      </c>
      <c r="N86" s="81">
        <v>0</v>
      </c>
      <c r="O86" s="81">
        <f t="shared" si="5"/>
        <v>2950</v>
      </c>
      <c r="P86" s="55" t="s">
        <v>79</v>
      </c>
      <c r="Q86" s="86" t="s">
        <v>107</v>
      </c>
      <c r="R86" s="80">
        <f t="shared" ref="R86:R95" si="11">I86*30%</f>
        <v>238500</v>
      </c>
      <c r="S86" s="80" t="s">
        <v>465</v>
      </c>
      <c r="T86" s="80"/>
    </row>
    <row r="87" spans="1:22" ht="29" x14ac:dyDescent="0.35">
      <c r="A87" s="55">
        <v>63</v>
      </c>
      <c r="B87" s="29">
        <v>10</v>
      </c>
      <c r="C87" s="32" t="s">
        <v>116</v>
      </c>
      <c r="D87" s="79">
        <v>1</v>
      </c>
      <c r="E87" s="79"/>
      <c r="F87" s="80">
        <v>175000</v>
      </c>
      <c r="G87" s="80"/>
      <c r="H87" s="80"/>
      <c r="I87" s="80">
        <f>EDP!J16</f>
        <v>250000</v>
      </c>
      <c r="J87" s="80">
        <f>EDP!K16</f>
        <v>237500</v>
      </c>
      <c r="K87" s="80">
        <f>I87-J87</f>
        <v>12500</v>
      </c>
      <c r="L87" s="81">
        <v>875</v>
      </c>
      <c r="M87" s="81">
        <f t="shared" si="9"/>
        <v>157.5</v>
      </c>
      <c r="N87" s="81">
        <v>0</v>
      </c>
      <c r="O87" s="81">
        <f t="shared" si="5"/>
        <v>1032.5</v>
      </c>
      <c r="P87" s="55" t="s">
        <v>79</v>
      </c>
      <c r="Q87" s="86" t="s">
        <v>107</v>
      </c>
      <c r="R87" s="80">
        <f t="shared" si="11"/>
        <v>75000</v>
      </c>
      <c r="S87" s="80" t="s">
        <v>465</v>
      </c>
      <c r="T87" s="80"/>
    </row>
    <row r="88" spans="1:22" ht="29" x14ac:dyDescent="0.35">
      <c r="A88" s="55">
        <v>64</v>
      </c>
      <c r="B88" s="29">
        <v>11</v>
      </c>
      <c r="C88" s="32" t="s">
        <v>117</v>
      </c>
      <c r="D88" s="79">
        <v>1</v>
      </c>
      <c r="E88" s="79"/>
      <c r="F88" s="80">
        <v>461000</v>
      </c>
      <c r="G88" s="80"/>
      <c r="H88" s="80"/>
      <c r="I88" s="80">
        <f>EDP!J17</f>
        <v>625000</v>
      </c>
      <c r="J88" s="80">
        <f>EDP!K17</f>
        <v>356250</v>
      </c>
      <c r="K88" s="80">
        <f>EDP!L17</f>
        <v>268750</v>
      </c>
      <c r="L88" s="81">
        <v>2305</v>
      </c>
      <c r="M88" s="81">
        <f t="shared" si="9"/>
        <v>414.9</v>
      </c>
      <c r="N88" s="81">
        <v>0</v>
      </c>
      <c r="O88" s="81">
        <f t="shared" si="5"/>
        <v>2719.9</v>
      </c>
      <c r="P88" s="55" t="s">
        <v>79</v>
      </c>
      <c r="Q88" s="86" t="s">
        <v>107</v>
      </c>
      <c r="R88" s="80">
        <f t="shared" si="11"/>
        <v>187500</v>
      </c>
      <c r="S88" s="80" t="s">
        <v>465</v>
      </c>
      <c r="T88" s="80"/>
    </row>
    <row r="89" spans="1:22" ht="29" x14ac:dyDescent="0.35">
      <c r="A89" s="55">
        <v>65</v>
      </c>
      <c r="B89" s="218">
        <v>12</v>
      </c>
      <c r="C89" s="32" t="s">
        <v>118</v>
      </c>
      <c r="D89" s="79">
        <v>1</v>
      </c>
      <c r="E89" s="79"/>
      <c r="F89" s="80">
        <v>1450000</v>
      </c>
      <c r="G89" s="80"/>
      <c r="H89" s="80"/>
      <c r="I89" s="80">
        <f>EDP!J18</f>
        <v>1500000</v>
      </c>
      <c r="J89" s="80">
        <f>EDP!K18</f>
        <v>1140000</v>
      </c>
      <c r="K89" s="80">
        <f>I89-J89</f>
        <v>360000</v>
      </c>
      <c r="L89" s="81">
        <v>7250</v>
      </c>
      <c r="M89" s="81">
        <f t="shared" si="9"/>
        <v>1305</v>
      </c>
      <c r="N89" s="81">
        <v>0</v>
      </c>
      <c r="O89" s="81">
        <f t="shared" si="5"/>
        <v>8555</v>
      </c>
      <c r="P89" s="55" t="s">
        <v>79</v>
      </c>
      <c r="Q89" s="86" t="s">
        <v>107</v>
      </c>
      <c r="R89" s="80">
        <f t="shared" si="11"/>
        <v>450000</v>
      </c>
      <c r="S89" s="80" t="s">
        <v>465</v>
      </c>
      <c r="T89" s="80"/>
      <c r="V89" s="80"/>
    </row>
    <row r="90" spans="1:22" ht="29" x14ac:dyDescent="0.35">
      <c r="A90" s="55">
        <v>66</v>
      </c>
      <c r="B90" s="250">
        <v>13</v>
      </c>
      <c r="C90" s="32" t="s">
        <v>119</v>
      </c>
      <c r="D90" s="79">
        <v>1</v>
      </c>
      <c r="E90" s="79"/>
      <c r="F90" s="80">
        <v>293810</v>
      </c>
      <c r="G90" s="80"/>
      <c r="H90" s="80"/>
      <c r="I90" s="80">
        <f>EDP!J19</f>
        <v>350000</v>
      </c>
      <c r="J90" s="80">
        <f>EDP!K19</f>
        <v>199500</v>
      </c>
      <c r="K90" s="80">
        <f>I90-J90</f>
        <v>150500</v>
      </c>
      <c r="L90" s="81">
        <v>1469</v>
      </c>
      <c r="M90" s="81">
        <f t="shared" si="9"/>
        <v>264.42</v>
      </c>
      <c r="N90" s="81">
        <v>0</v>
      </c>
      <c r="O90" s="81">
        <f t="shared" si="5"/>
        <v>1733.42</v>
      </c>
      <c r="P90" s="55" t="s">
        <v>79</v>
      </c>
      <c r="Q90" s="86" t="s">
        <v>107</v>
      </c>
      <c r="R90" s="80">
        <f t="shared" si="11"/>
        <v>105000</v>
      </c>
      <c r="S90" s="80" t="s">
        <v>465</v>
      </c>
      <c r="T90" s="80"/>
      <c r="V90" s="80"/>
    </row>
    <row r="91" spans="1:22" ht="29" x14ac:dyDescent="0.35">
      <c r="B91" s="318" t="s">
        <v>120</v>
      </c>
      <c r="C91" s="32"/>
      <c r="D91" s="79"/>
      <c r="E91" s="79"/>
      <c r="F91" s="80"/>
      <c r="G91" s="80"/>
      <c r="H91" s="80"/>
      <c r="I91" s="80">
        <v>350000</v>
      </c>
      <c r="J91" s="80">
        <f>EDP!K19</f>
        <v>199500</v>
      </c>
      <c r="K91" s="80">
        <f>EDP!L19</f>
        <v>150500</v>
      </c>
      <c r="L91" s="53"/>
      <c r="M91" s="53"/>
      <c r="N91" s="53"/>
      <c r="O91" s="81"/>
      <c r="P91" s="55"/>
      <c r="Q91" s="52"/>
      <c r="R91" s="80">
        <f t="shared" si="11"/>
        <v>105000</v>
      </c>
      <c r="S91" s="80" t="s">
        <v>465</v>
      </c>
      <c r="V91" s="80"/>
    </row>
    <row r="92" spans="1:22" ht="29" x14ac:dyDescent="0.35">
      <c r="A92" s="55">
        <v>67</v>
      </c>
      <c r="B92" s="29">
        <v>14</v>
      </c>
      <c r="C92" s="32" t="s">
        <v>121</v>
      </c>
      <c r="D92" s="79">
        <v>1</v>
      </c>
      <c r="E92" s="79"/>
      <c r="F92" s="80">
        <v>50000</v>
      </c>
      <c r="G92" s="80"/>
      <c r="H92" s="80"/>
      <c r="I92" s="80">
        <f>EDP!J21</f>
        <v>65000</v>
      </c>
      <c r="J92" s="80">
        <f>EDP!K21</f>
        <v>61750</v>
      </c>
      <c r="K92" s="80">
        <f>EDP!L21</f>
        <v>3250</v>
      </c>
      <c r="L92" s="81">
        <v>250</v>
      </c>
      <c r="M92" s="81">
        <f>L92*18%</f>
        <v>45</v>
      </c>
      <c r="N92" s="81">
        <v>0</v>
      </c>
      <c r="O92" s="81">
        <f t="shared" si="5"/>
        <v>295</v>
      </c>
      <c r="P92" s="55" t="s">
        <v>79</v>
      </c>
      <c r="Q92" s="86" t="s">
        <v>107</v>
      </c>
      <c r="R92" s="80">
        <f t="shared" si="11"/>
        <v>19500</v>
      </c>
      <c r="S92" s="80" t="s">
        <v>465</v>
      </c>
      <c r="T92" s="80"/>
      <c r="V92" s="80"/>
    </row>
    <row r="93" spans="1:22" ht="29" x14ac:dyDescent="0.35">
      <c r="A93" s="55">
        <v>68</v>
      </c>
      <c r="B93" s="29">
        <v>15</v>
      </c>
      <c r="C93" s="32" t="s">
        <v>122</v>
      </c>
      <c r="D93" s="79">
        <v>2</v>
      </c>
      <c r="E93" s="79"/>
      <c r="F93" s="80">
        <v>60000</v>
      </c>
      <c r="G93" s="80"/>
      <c r="H93" s="80"/>
      <c r="I93" s="80">
        <f>EDP!J22</f>
        <v>75000</v>
      </c>
      <c r="J93" s="80">
        <f>EDP!K22</f>
        <v>71250</v>
      </c>
      <c r="K93" s="80">
        <f>EDP!L22</f>
        <v>3750</v>
      </c>
      <c r="L93" s="81">
        <v>300</v>
      </c>
      <c r="M93" s="81">
        <f>L93*18%</f>
        <v>54</v>
      </c>
      <c r="N93" s="81">
        <v>0</v>
      </c>
      <c r="O93" s="81">
        <f t="shared" si="5"/>
        <v>354</v>
      </c>
      <c r="P93" s="55" t="s">
        <v>79</v>
      </c>
      <c r="Q93" s="86" t="s">
        <v>107</v>
      </c>
      <c r="R93" s="80">
        <f t="shared" si="11"/>
        <v>22500</v>
      </c>
      <c r="S93" s="80" t="s">
        <v>465</v>
      </c>
      <c r="T93" s="42"/>
      <c r="V93" s="80"/>
    </row>
    <row r="94" spans="1:22" ht="29" x14ac:dyDescent="0.35">
      <c r="A94" s="55">
        <v>69</v>
      </c>
      <c r="B94" s="29">
        <v>17</v>
      </c>
      <c r="C94" s="32" t="s">
        <v>124</v>
      </c>
      <c r="D94" s="79">
        <v>2</v>
      </c>
      <c r="E94" s="79"/>
      <c r="F94" s="80">
        <v>587000</v>
      </c>
      <c r="G94" s="80"/>
      <c r="H94" s="80"/>
      <c r="I94" s="80">
        <f>EDP!J24</f>
        <v>850000</v>
      </c>
      <c r="J94" s="80">
        <f>EDP!K24</f>
        <v>807500</v>
      </c>
      <c r="K94" s="80">
        <f>EDP!L24</f>
        <v>42500</v>
      </c>
      <c r="L94" s="81">
        <v>2935</v>
      </c>
      <c r="M94" s="81">
        <f>L94*18%</f>
        <v>528.29999999999995</v>
      </c>
      <c r="N94" s="81">
        <v>0</v>
      </c>
      <c r="O94" s="81">
        <f t="shared" si="5"/>
        <v>3463.3</v>
      </c>
      <c r="P94" s="55" t="s">
        <v>79</v>
      </c>
      <c r="Q94" s="86" t="s">
        <v>107</v>
      </c>
      <c r="R94" s="80">
        <f t="shared" si="11"/>
        <v>255000</v>
      </c>
      <c r="S94" s="80" t="s">
        <v>465</v>
      </c>
      <c r="T94" s="42"/>
    </row>
    <row r="95" spans="1:22" ht="29" x14ac:dyDescent="0.35">
      <c r="A95" s="55">
        <v>70</v>
      </c>
      <c r="B95" s="29">
        <v>20</v>
      </c>
      <c r="C95" s="32" t="s">
        <v>127</v>
      </c>
      <c r="D95" s="79">
        <v>4</v>
      </c>
      <c r="E95" s="79"/>
      <c r="F95" s="80">
        <v>3339000</v>
      </c>
      <c r="G95" s="80"/>
      <c r="H95" s="80"/>
      <c r="I95" s="80">
        <f>EDP!J27</f>
        <v>5000000</v>
      </c>
      <c r="J95" s="80">
        <f>EDP!K27</f>
        <v>4750000</v>
      </c>
      <c r="K95" s="80">
        <f>EDP!L27</f>
        <v>250000</v>
      </c>
      <c r="L95" s="81">
        <v>16695</v>
      </c>
      <c r="M95" s="81">
        <f>L95*18%</f>
        <v>3005.1</v>
      </c>
      <c r="N95" s="81">
        <v>0</v>
      </c>
      <c r="O95" s="81">
        <f t="shared" si="5"/>
        <v>19700.099999999999</v>
      </c>
      <c r="P95" s="55" t="s">
        <v>79</v>
      </c>
      <c r="Q95" s="86" t="s">
        <v>107</v>
      </c>
      <c r="R95" s="80">
        <f t="shared" si="11"/>
        <v>1500000</v>
      </c>
      <c r="S95" s="80" t="s">
        <v>465</v>
      </c>
      <c r="T95" s="42"/>
    </row>
    <row r="96" spans="1:22" ht="15.5" x14ac:dyDescent="0.35">
      <c r="B96" s="132" t="s">
        <v>129</v>
      </c>
      <c r="C96" s="33"/>
      <c r="D96" s="79"/>
      <c r="E96" s="79"/>
      <c r="F96" s="80"/>
      <c r="G96" s="80"/>
      <c r="H96" s="80"/>
      <c r="I96" s="80"/>
      <c r="J96" s="80"/>
      <c r="K96" s="80"/>
      <c r="L96" s="53"/>
      <c r="M96" s="53"/>
      <c r="N96" s="53"/>
      <c r="O96" s="81"/>
      <c r="P96" s="55"/>
      <c r="Q96" s="52"/>
      <c r="R96" s="263"/>
      <c r="S96" s="263"/>
      <c r="T96" s="42"/>
    </row>
    <row r="97" spans="1:20" ht="30" customHeight="1" x14ac:dyDescent="0.35">
      <c r="A97" s="55">
        <v>71</v>
      </c>
      <c r="B97" s="29">
        <v>22</v>
      </c>
      <c r="C97" s="32" t="s">
        <v>130</v>
      </c>
      <c r="D97" s="79">
        <v>33</v>
      </c>
      <c r="E97" s="79"/>
      <c r="F97" s="80">
        <f>1178000+76000</f>
        <v>1254000</v>
      </c>
      <c r="G97" s="629">
        <f>Annexures!D232</f>
        <v>7803281.54</v>
      </c>
      <c r="H97" s="629">
        <f>Annexures!M232</f>
        <v>5213565.1900000004</v>
      </c>
      <c r="I97" s="629">
        <f>EDP!J30</f>
        <v>2000000</v>
      </c>
      <c r="J97" s="629">
        <f>EDP!K30</f>
        <v>1520000</v>
      </c>
      <c r="K97" s="629">
        <f>EDP!L30</f>
        <v>480000</v>
      </c>
      <c r="L97" s="81">
        <v>6270</v>
      </c>
      <c r="M97" s="81">
        <f>L97*18%</f>
        <v>1128.5999999999999</v>
      </c>
      <c r="N97" s="81">
        <v>0</v>
      </c>
      <c r="O97" s="81">
        <f t="shared" si="5"/>
        <v>7398.6</v>
      </c>
      <c r="P97" s="55" t="s">
        <v>79</v>
      </c>
      <c r="Q97" s="86" t="s">
        <v>107</v>
      </c>
      <c r="R97" s="666">
        <f>I97*30%</f>
        <v>600000</v>
      </c>
      <c r="S97" s="629" t="s">
        <v>465</v>
      </c>
      <c r="T97" s="42"/>
    </row>
    <row r="98" spans="1:20" ht="29" x14ac:dyDescent="0.35">
      <c r="A98" s="55">
        <v>72</v>
      </c>
      <c r="B98" s="29">
        <v>23</v>
      </c>
      <c r="C98" s="32" t="s">
        <v>131</v>
      </c>
      <c r="D98" s="79">
        <v>8</v>
      </c>
      <c r="E98" s="79"/>
      <c r="F98" s="80">
        <f>246000+82000</f>
        <v>328000</v>
      </c>
      <c r="G98" s="630"/>
      <c r="H98" s="630"/>
      <c r="I98" s="630"/>
      <c r="J98" s="630"/>
      <c r="K98" s="630"/>
      <c r="L98" s="81">
        <v>1640</v>
      </c>
      <c r="M98" s="81">
        <f>L98*18%</f>
        <v>295.2</v>
      </c>
      <c r="N98" s="81">
        <v>0</v>
      </c>
      <c r="O98" s="81">
        <f t="shared" si="5"/>
        <v>1935.2</v>
      </c>
      <c r="P98" s="55" t="s">
        <v>79</v>
      </c>
      <c r="Q98" s="86" t="s">
        <v>107</v>
      </c>
      <c r="R98" s="666"/>
      <c r="S98" s="630"/>
      <c r="T98" s="42"/>
    </row>
    <row r="99" spans="1:20" ht="29" x14ac:dyDescent="0.35">
      <c r="A99" s="55">
        <v>73</v>
      </c>
      <c r="B99" s="29">
        <v>24</v>
      </c>
      <c r="C99" s="33" t="s">
        <v>132</v>
      </c>
      <c r="D99" s="79">
        <v>1</v>
      </c>
      <c r="E99" s="79"/>
      <c r="F99" s="80">
        <v>30000</v>
      </c>
      <c r="G99" s="631"/>
      <c r="H99" s="631"/>
      <c r="I99" s="631"/>
      <c r="J99" s="631"/>
      <c r="K99" s="631"/>
      <c r="L99" s="81">
        <v>150</v>
      </c>
      <c r="M99" s="81">
        <f>L99*18%</f>
        <v>27</v>
      </c>
      <c r="N99" s="81">
        <v>0</v>
      </c>
      <c r="O99" s="81">
        <f t="shared" si="5"/>
        <v>177</v>
      </c>
      <c r="P99" s="55" t="s">
        <v>79</v>
      </c>
      <c r="Q99" s="86" t="s">
        <v>107</v>
      </c>
      <c r="R99" s="666"/>
      <c r="S99" s="631"/>
      <c r="T99" s="42"/>
    </row>
    <row r="100" spans="1:20" ht="15.5" x14ac:dyDescent="0.35">
      <c r="A100" s="55"/>
      <c r="B100" s="132" t="s">
        <v>133</v>
      </c>
      <c r="C100" s="33"/>
      <c r="D100" s="79"/>
      <c r="E100" s="79"/>
      <c r="F100" s="80"/>
      <c r="G100" s="80"/>
      <c r="H100" s="80"/>
      <c r="I100" s="80"/>
      <c r="J100" s="80"/>
      <c r="K100" s="80"/>
      <c r="L100" s="53"/>
      <c r="M100" s="53"/>
      <c r="N100" s="53"/>
      <c r="O100" s="81"/>
      <c r="P100" s="55"/>
      <c r="Q100" s="52"/>
      <c r="R100" s="263"/>
      <c r="S100" s="263"/>
      <c r="T100" s="42"/>
    </row>
    <row r="101" spans="1:20" ht="18" customHeight="1" x14ac:dyDescent="0.35">
      <c r="A101" s="55">
        <v>74</v>
      </c>
      <c r="B101" s="29">
        <v>25</v>
      </c>
      <c r="C101" s="89" t="s">
        <v>134</v>
      </c>
      <c r="D101" s="29">
        <v>1</v>
      </c>
      <c r="E101" s="29"/>
      <c r="F101" s="131">
        <v>527000</v>
      </c>
      <c r="G101" s="131"/>
      <c r="H101" s="131"/>
      <c r="I101" s="131">
        <f>EDP!J34</f>
        <v>800000</v>
      </c>
      <c r="J101" s="131">
        <f>EDP!K34</f>
        <v>608000</v>
      </c>
      <c r="K101" s="131">
        <f>EDP!L34</f>
        <v>192000</v>
      </c>
      <c r="L101" s="81">
        <v>2635</v>
      </c>
      <c r="M101" s="81">
        <f>L101*18%</f>
        <v>474.29999999999995</v>
      </c>
      <c r="N101" s="81"/>
      <c r="O101" s="81">
        <f t="shared" si="5"/>
        <v>3109.3</v>
      </c>
      <c r="P101" s="55" t="s">
        <v>79</v>
      </c>
      <c r="Q101" s="86" t="s">
        <v>107</v>
      </c>
      <c r="R101" s="292">
        <f>I101*30%</f>
        <v>240000</v>
      </c>
      <c r="S101" s="80" t="s">
        <v>465</v>
      </c>
      <c r="T101" s="42"/>
    </row>
    <row r="102" spans="1:20" ht="15.5" x14ac:dyDescent="0.35">
      <c r="B102" s="132" t="s">
        <v>135</v>
      </c>
      <c r="C102" s="89"/>
      <c r="D102" s="29"/>
      <c r="E102" s="29"/>
      <c r="F102" s="131"/>
      <c r="G102" s="131"/>
      <c r="H102" s="131"/>
      <c r="I102" s="131"/>
      <c r="J102" s="131"/>
      <c r="K102" s="131"/>
      <c r="L102" s="53"/>
      <c r="M102" s="53"/>
      <c r="N102" s="53"/>
      <c r="O102" s="81"/>
      <c r="P102" s="55"/>
      <c r="Q102" s="52"/>
      <c r="R102" s="292"/>
      <c r="S102" s="263"/>
      <c r="T102" s="42"/>
    </row>
    <row r="103" spans="1:20" ht="18" customHeight="1" x14ac:dyDescent="0.35">
      <c r="A103" s="55">
        <v>75</v>
      </c>
      <c r="B103" s="29">
        <v>26</v>
      </c>
      <c r="C103" s="32" t="s">
        <v>136</v>
      </c>
      <c r="D103" s="79">
        <v>2</v>
      </c>
      <c r="E103" s="79"/>
      <c r="F103" s="80">
        <v>95000</v>
      </c>
      <c r="G103" s="80"/>
      <c r="H103" s="80"/>
      <c r="I103" s="80">
        <f>EDP!J36</f>
        <v>108000</v>
      </c>
      <c r="J103" s="80">
        <f>EDP!K36</f>
        <v>102600</v>
      </c>
      <c r="K103" s="80">
        <f>EDP!L36</f>
        <v>5400</v>
      </c>
      <c r="L103" s="81">
        <v>475</v>
      </c>
      <c r="M103" s="81">
        <f>L103*18%</f>
        <v>85.5</v>
      </c>
      <c r="N103" s="81">
        <v>0</v>
      </c>
      <c r="O103" s="81">
        <f t="shared" si="5"/>
        <v>560.5</v>
      </c>
      <c r="P103" s="55" t="s">
        <v>79</v>
      </c>
      <c r="Q103" s="86" t="s">
        <v>107</v>
      </c>
      <c r="R103" s="292">
        <f t="shared" ref="R103:R112" si="12">I103*30%</f>
        <v>32400</v>
      </c>
      <c r="S103" s="80" t="s">
        <v>465</v>
      </c>
      <c r="T103" s="42"/>
    </row>
    <row r="104" spans="1:20" ht="29" x14ac:dyDescent="0.35">
      <c r="A104" s="55">
        <v>76</v>
      </c>
      <c r="B104" s="29">
        <v>27</v>
      </c>
      <c r="C104" s="32" t="s">
        <v>137</v>
      </c>
      <c r="D104" s="79">
        <v>3</v>
      </c>
      <c r="E104" s="79"/>
      <c r="F104" s="131">
        <v>108000</v>
      </c>
      <c r="G104" s="131"/>
      <c r="H104" s="131"/>
      <c r="I104" s="131">
        <f>EDP!J37</f>
        <v>135000</v>
      </c>
      <c r="J104" s="131">
        <f>EDP!K37</f>
        <v>128250</v>
      </c>
      <c r="K104" s="131">
        <f>EDP!L37</f>
        <v>6750</v>
      </c>
      <c r="L104" s="81">
        <v>540</v>
      </c>
      <c r="M104" s="81">
        <f>L104*18%</f>
        <v>97.2</v>
      </c>
      <c r="N104" s="81">
        <v>0</v>
      </c>
      <c r="O104" s="81">
        <f t="shared" si="5"/>
        <v>637.20000000000005</v>
      </c>
      <c r="P104" s="55" t="s">
        <v>79</v>
      </c>
      <c r="Q104" s="86" t="s">
        <v>107</v>
      </c>
      <c r="R104" s="292">
        <f t="shared" si="12"/>
        <v>40500</v>
      </c>
      <c r="S104" s="80" t="s">
        <v>465</v>
      </c>
      <c r="T104" s="42"/>
    </row>
    <row r="105" spans="1:20" ht="29" x14ac:dyDescent="0.35">
      <c r="A105" s="55">
        <v>77</v>
      </c>
      <c r="B105" s="29">
        <v>28</v>
      </c>
      <c r="C105" s="33" t="s">
        <v>138</v>
      </c>
      <c r="D105" s="79">
        <v>1</v>
      </c>
      <c r="E105" s="79"/>
      <c r="F105" s="80">
        <v>44800</v>
      </c>
      <c r="G105" s="80">
        <v>47500</v>
      </c>
      <c r="H105" s="80">
        <v>28492</v>
      </c>
      <c r="I105" s="80">
        <f>EDP!J38</f>
        <v>42000</v>
      </c>
      <c r="J105" s="80">
        <f>EDP!K38</f>
        <v>39900</v>
      </c>
      <c r="K105" s="80">
        <f>EDP!L38</f>
        <v>2100</v>
      </c>
      <c r="L105" s="81">
        <v>293</v>
      </c>
      <c r="M105" s="81">
        <f>L105*18/100</f>
        <v>52.74</v>
      </c>
      <c r="N105" s="135">
        <v>0</v>
      </c>
      <c r="O105" s="81">
        <f t="shared" ref="O105:O112" si="13">L105+M105+N105</f>
        <v>345.74</v>
      </c>
      <c r="P105" s="55" t="s">
        <v>19</v>
      </c>
      <c r="Q105" s="52" t="s">
        <v>107</v>
      </c>
      <c r="R105" s="292">
        <f t="shared" si="12"/>
        <v>12600</v>
      </c>
      <c r="S105" s="80" t="s">
        <v>465</v>
      </c>
      <c r="T105" s="42"/>
    </row>
    <row r="106" spans="1:20" ht="29" x14ac:dyDescent="0.35">
      <c r="A106" s="55">
        <v>78</v>
      </c>
      <c r="B106" s="29">
        <v>29</v>
      </c>
      <c r="C106" s="33" t="s">
        <v>139</v>
      </c>
      <c r="D106" s="79">
        <v>1</v>
      </c>
      <c r="E106" s="79"/>
      <c r="F106" s="80">
        <v>70000</v>
      </c>
      <c r="G106" s="80"/>
      <c r="H106" s="80"/>
      <c r="I106" s="80">
        <f>EDP!J39</f>
        <v>75000</v>
      </c>
      <c r="J106" s="80">
        <f>EDP!K39</f>
        <v>71250</v>
      </c>
      <c r="K106" s="80">
        <f>EDP!L39</f>
        <v>3750</v>
      </c>
      <c r="L106" s="81">
        <v>350</v>
      </c>
      <c r="M106" s="81">
        <f>L106*18%</f>
        <v>63</v>
      </c>
      <c r="N106" s="81">
        <v>0</v>
      </c>
      <c r="O106" s="81">
        <f t="shared" si="13"/>
        <v>413</v>
      </c>
      <c r="P106" s="55" t="s">
        <v>79</v>
      </c>
      <c r="Q106" s="86" t="s">
        <v>107</v>
      </c>
      <c r="R106" s="292">
        <f t="shared" si="12"/>
        <v>22500</v>
      </c>
      <c r="S106" s="80" t="s">
        <v>465</v>
      </c>
      <c r="T106" s="42"/>
    </row>
    <row r="107" spans="1:20" ht="29" x14ac:dyDescent="0.35">
      <c r="A107" s="55">
        <v>79</v>
      </c>
      <c r="B107" s="29">
        <v>30</v>
      </c>
      <c r="C107" s="33" t="s">
        <v>140</v>
      </c>
      <c r="D107" s="79">
        <v>1</v>
      </c>
      <c r="E107" s="79"/>
      <c r="F107" s="80">
        <v>41000</v>
      </c>
      <c r="G107" s="80"/>
      <c r="H107" s="80"/>
      <c r="I107" s="80">
        <f>EDP!J40</f>
        <v>39000</v>
      </c>
      <c r="J107" s="80">
        <f>EDP!K40</f>
        <v>24700</v>
      </c>
      <c r="K107" s="80">
        <f>EDP!L40</f>
        <v>14300</v>
      </c>
      <c r="L107" s="81">
        <v>205</v>
      </c>
      <c r="M107" s="81">
        <f>L107*18%</f>
        <v>36.9</v>
      </c>
      <c r="N107" s="81">
        <v>0</v>
      </c>
      <c r="O107" s="81">
        <f t="shared" si="13"/>
        <v>241.9</v>
      </c>
      <c r="P107" s="55" t="s">
        <v>79</v>
      </c>
      <c r="Q107" s="86" t="s">
        <v>107</v>
      </c>
      <c r="R107" s="292">
        <f t="shared" si="12"/>
        <v>11700</v>
      </c>
      <c r="S107" s="80" t="s">
        <v>465</v>
      </c>
      <c r="T107" s="42"/>
    </row>
    <row r="108" spans="1:20" ht="17" x14ac:dyDescent="0.35">
      <c r="B108" s="136" t="s">
        <v>141</v>
      </c>
      <c r="C108" s="55"/>
      <c r="D108" s="79"/>
      <c r="E108" s="79"/>
      <c r="F108" s="137"/>
      <c r="G108" s="137"/>
      <c r="H108" s="137"/>
      <c r="I108" s="137"/>
      <c r="J108" s="137"/>
      <c r="K108" s="137"/>
      <c r="L108" s="53"/>
      <c r="M108" s="53"/>
      <c r="N108" s="53"/>
      <c r="O108" s="81"/>
      <c r="P108" s="55"/>
      <c r="Q108" s="52"/>
      <c r="R108" s="263"/>
      <c r="S108" s="263"/>
      <c r="T108" s="42"/>
    </row>
    <row r="109" spans="1:20" ht="36" customHeight="1" x14ac:dyDescent="0.35">
      <c r="A109" s="55">
        <v>80</v>
      </c>
      <c r="B109" s="29">
        <v>1</v>
      </c>
      <c r="C109" s="89" t="s">
        <v>142</v>
      </c>
      <c r="D109" s="29">
        <v>1</v>
      </c>
      <c r="E109" s="29"/>
      <c r="F109" s="131">
        <v>40000</v>
      </c>
      <c r="G109" s="131"/>
      <c r="H109" s="131"/>
      <c r="I109" s="131">
        <f>EDP!J42</f>
        <v>38000</v>
      </c>
      <c r="J109" s="131">
        <f>EDP!K42</f>
        <v>36100</v>
      </c>
      <c r="K109" s="131">
        <f>EDP!L42</f>
        <v>1900</v>
      </c>
      <c r="L109" s="81">
        <v>200</v>
      </c>
      <c r="M109" s="81">
        <f>L109*18%</f>
        <v>36</v>
      </c>
      <c r="N109" s="81">
        <v>0</v>
      </c>
      <c r="O109" s="81">
        <f t="shared" si="13"/>
        <v>236</v>
      </c>
      <c r="P109" s="55" t="s">
        <v>79</v>
      </c>
      <c r="Q109" s="86" t="s">
        <v>107</v>
      </c>
      <c r="R109" s="292">
        <f t="shared" si="12"/>
        <v>11400</v>
      </c>
      <c r="S109" s="14" t="s">
        <v>465</v>
      </c>
      <c r="T109" s="42"/>
    </row>
    <row r="110" spans="1:20" ht="30.75" customHeight="1" x14ac:dyDescent="0.35">
      <c r="A110" s="55">
        <v>81</v>
      </c>
      <c r="B110" s="29">
        <v>2</v>
      </c>
      <c r="C110" s="32" t="s">
        <v>143</v>
      </c>
      <c r="D110" s="79">
        <v>1</v>
      </c>
      <c r="E110" s="79"/>
      <c r="F110" s="131">
        <v>45000</v>
      </c>
      <c r="G110" s="131"/>
      <c r="H110" s="131"/>
      <c r="I110" s="131">
        <f>EDP!J43</f>
        <v>42500</v>
      </c>
      <c r="J110" s="131">
        <f>EDP!K43</f>
        <v>40375</v>
      </c>
      <c r="K110" s="131">
        <f>EDP!L43</f>
        <v>2125</v>
      </c>
      <c r="L110" s="81">
        <v>225</v>
      </c>
      <c r="M110" s="81">
        <f>L110*18%</f>
        <v>40.5</v>
      </c>
      <c r="N110" s="81">
        <v>0</v>
      </c>
      <c r="O110" s="81">
        <f t="shared" si="13"/>
        <v>265.5</v>
      </c>
      <c r="P110" s="55" t="s">
        <v>79</v>
      </c>
      <c r="Q110" s="86" t="s">
        <v>107</v>
      </c>
      <c r="R110" s="292">
        <f t="shared" si="12"/>
        <v>12750</v>
      </c>
      <c r="S110" s="80" t="s">
        <v>465</v>
      </c>
      <c r="T110" s="42"/>
    </row>
    <row r="111" spans="1:20" ht="40.5" customHeight="1" x14ac:dyDescent="0.35">
      <c r="A111" s="55">
        <v>82</v>
      </c>
      <c r="B111" s="29">
        <v>3</v>
      </c>
      <c r="C111" s="89" t="s">
        <v>144</v>
      </c>
      <c r="D111" s="29">
        <v>1</v>
      </c>
      <c r="E111" s="29"/>
      <c r="F111" s="131">
        <v>40000</v>
      </c>
      <c r="G111" s="131"/>
      <c r="H111" s="131"/>
      <c r="I111" s="131">
        <f>EDP!J44</f>
        <v>47000</v>
      </c>
      <c r="J111" s="131">
        <f>EDP!K44</f>
        <v>29766.666666666668</v>
      </c>
      <c r="K111" s="131">
        <f>EDP!L44</f>
        <v>17233.333333333332</v>
      </c>
      <c r="L111" s="81">
        <v>200</v>
      </c>
      <c r="M111" s="81">
        <f>L111*18%</f>
        <v>36</v>
      </c>
      <c r="N111" s="81">
        <v>0</v>
      </c>
      <c r="O111" s="81">
        <f t="shared" si="13"/>
        <v>236</v>
      </c>
      <c r="P111" s="55" t="s">
        <v>79</v>
      </c>
      <c r="Q111" s="86" t="s">
        <v>107</v>
      </c>
      <c r="R111" s="292">
        <f t="shared" si="12"/>
        <v>14100</v>
      </c>
      <c r="S111" s="80" t="s">
        <v>465</v>
      </c>
      <c r="T111" s="42"/>
    </row>
    <row r="112" spans="1:20" ht="33" customHeight="1" x14ac:dyDescent="0.35">
      <c r="A112" s="3">
        <v>83</v>
      </c>
      <c r="B112" s="29">
        <v>4</v>
      </c>
      <c r="C112" s="89" t="s">
        <v>145</v>
      </c>
      <c r="D112" s="29">
        <v>1</v>
      </c>
      <c r="E112" s="29"/>
      <c r="F112" s="131">
        <v>36000</v>
      </c>
      <c r="G112" s="131"/>
      <c r="H112" s="131"/>
      <c r="I112" s="131">
        <f>EDP!J45</f>
        <v>36000</v>
      </c>
      <c r="J112" s="131">
        <f>EDP!K45</f>
        <v>34200</v>
      </c>
      <c r="K112" s="131">
        <f>EDP!L45</f>
        <v>1800</v>
      </c>
      <c r="L112" s="81">
        <v>180</v>
      </c>
      <c r="M112" s="81">
        <f>L112*18%</f>
        <v>32.4</v>
      </c>
      <c r="N112" s="81">
        <v>0</v>
      </c>
      <c r="O112" s="81">
        <f t="shared" si="13"/>
        <v>212.4</v>
      </c>
      <c r="P112" s="55" t="s">
        <v>79</v>
      </c>
      <c r="Q112" s="86" t="s">
        <v>107</v>
      </c>
      <c r="R112" s="292">
        <f t="shared" si="12"/>
        <v>10800</v>
      </c>
      <c r="S112" s="293" t="s">
        <v>465</v>
      </c>
      <c r="T112" s="42"/>
    </row>
    <row r="113" spans="1:21" ht="33" customHeight="1" x14ac:dyDescent="0.35">
      <c r="A113" s="3">
        <v>84</v>
      </c>
      <c r="B113" s="250">
        <v>5</v>
      </c>
      <c r="C113" s="249" t="s">
        <v>437</v>
      </c>
      <c r="D113" s="250">
        <v>1</v>
      </c>
      <c r="E113" s="250"/>
      <c r="F113" s="131"/>
      <c r="G113" s="80">
        <f>[1]Sheet2!$F$38</f>
        <v>127800</v>
      </c>
      <c r="H113" s="131"/>
      <c r="I113" s="80">
        <f>EDP!J46</f>
        <v>127800</v>
      </c>
      <c r="J113" s="306">
        <f>EDP!K46</f>
        <v>0</v>
      </c>
      <c r="K113" s="271">
        <f>EDP!L46</f>
        <v>127800</v>
      </c>
      <c r="L113" s="80">
        <f>J113-K113</f>
        <v>-127800</v>
      </c>
      <c r="M113" s="81"/>
      <c r="N113" s="81"/>
      <c r="O113" s="81"/>
      <c r="P113" s="81"/>
      <c r="Q113" s="55"/>
      <c r="R113" s="280">
        <f>I113*30%</f>
        <v>38340</v>
      </c>
      <c r="S113" s="42"/>
      <c r="T113" s="42"/>
    </row>
    <row r="114" spans="1:21" ht="33" customHeight="1" x14ac:dyDescent="0.35">
      <c r="A114" s="98">
        <v>85</v>
      </c>
      <c r="B114" s="250"/>
      <c r="C114" s="134" t="s">
        <v>475</v>
      </c>
      <c r="D114" s="250"/>
      <c r="E114" s="250"/>
      <c r="F114" s="278">
        <f>F113+F112+F111+F110+F109+F107+F106+F105+F104+F103+F101+F99+F98+F97+F95+F94+F93+F92+F90+F89+F88+F87+F86+F85+F84+F83+F82+F81+F80+F79+F78</f>
        <v>21318552</v>
      </c>
      <c r="G114" s="278">
        <f t="shared" ref="G114:R114" si="14">G113+G112+G111+G110+G109+G107+G106+G105+G104+G103+G101+G99+G98+G97+G95+G94+G93+G92+G90+G89+G88+G87+G86+G85+G84+G83+G82+G81+G80+G79+G78</f>
        <v>7978581.54</v>
      </c>
      <c r="H114" s="278">
        <f t="shared" si="14"/>
        <v>5242057.1900000004</v>
      </c>
      <c r="I114" s="278">
        <f t="shared" si="14"/>
        <v>29146300</v>
      </c>
      <c r="J114" s="278">
        <f t="shared" si="14"/>
        <v>26352841.666666668</v>
      </c>
      <c r="K114" s="278">
        <f t="shared" si="14"/>
        <v>2944508.3333333335</v>
      </c>
      <c r="L114" s="278">
        <f t="shared" si="14"/>
        <v>-32656</v>
      </c>
      <c r="M114" s="278">
        <f t="shared" si="14"/>
        <v>17125.920000000002</v>
      </c>
      <c r="N114" s="278">
        <f t="shared" si="14"/>
        <v>0</v>
      </c>
      <c r="O114" s="278">
        <f t="shared" si="14"/>
        <v>112269.91999999998</v>
      </c>
      <c r="P114" s="278" t="e">
        <f t="shared" si="14"/>
        <v>#VALUE!</v>
      </c>
      <c r="Q114" s="278" t="e">
        <f t="shared" si="14"/>
        <v>#VALUE!</v>
      </c>
      <c r="R114" s="278">
        <f t="shared" si="14"/>
        <v>6287190</v>
      </c>
      <c r="S114" s="42"/>
      <c r="T114" s="42"/>
    </row>
    <row r="115" spans="1:21" ht="33" customHeight="1" x14ac:dyDescent="0.35">
      <c r="A115" s="98"/>
      <c r="B115" s="250"/>
      <c r="C115" s="249"/>
      <c r="D115" s="250"/>
      <c r="E115" s="250"/>
      <c r="F115" s="131"/>
      <c r="G115" s="80"/>
      <c r="H115" s="131"/>
      <c r="I115" s="80"/>
      <c r="J115" s="306"/>
      <c r="K115" s="271"/>
      <c r="L115" s="80"/>
      <c r="M115" s="81"/>
      <c r="N115" s="81"/>
      <c r="O115" s="81"/>
      <c r="P115" s="81"/>
      <c r="Q115" s="55"/>
      <c r="R115" s="280"/>
      <c r="S115" s="42"/>
      <c r="T115" s="42"/>
    </row>
    <row r="116" spans="1:21" ht="19.5" x14ac:dyDescent="0.35">
      <c r="B116" s="133" t="s">
        <v>159</v>
      </c>
      <c r="C116" s="33"/>
      <c r="D116" s="29"/>
      <c r="E116" s="29"/>
      <c r="F116" s="53"/>
      <c r="G116" s="53"/>
      <c r="H116" s="53"/>
      <c r="I116" s="53"/>
      <c r="J116" s="53"/>
      <c r="K116" s="53"/>
      <c r="L116" s="53"/>
      <c r="M116" s="53"/>
      <c r="N116" s="53"/>
      <c r="O116" s="54"/>
      <c r="P116" s="55"/>
      <c r="Q116" s="33"/>
      <c r="R116" s="33"/>
      <c r="S116" s="33"/>
    </row>
    <row r="117" spans="1:21" ht="43.5" x14ac:dyDescent="0.35">
      <c r="A117" s="55">
        <v>86</v>
      </c>
      <c r="B117" s="29">
        <v>1</v>
      </c>
      <c r="C117" s="33" t="s">
        <v>152</v>
      </c>
      <c r="D117" s="29"/>
      <c r="E117" s="29"/>
      <c r="F117" s="137">
        <v>700000000</v>
      </c>
      <c r="G117" s="137"/>
      <c r="H117" s="137"/>
      <c r="I117" s="137">
        <v>800000000</v>
      </c>
      <c r="J117" s="306">
        <v>0</v>
      </c>
      <c r="K117" s="37">
        <v>800000000</v>
      </c>
      <c r="L117" s="140">
        <v>148723</v>
      </c>
      <c r="M117" s="140">
        <v>26770</v>
      </c>
      <c r="N117" s="55">
        <v>0</v>
      </c>
      <c r="O117" s="88">
        <f>+L117+M117+N117</f>
        <v>175493</v>
      </c>
      <c r="P117" s="55" t="s">
        <v>44</v>
      </c>
      <c r="Q117" s="32" t="s">
        <v>151</v>
      </c>
      <c r="R117" s="137">
        <v>800000000</v>
      </c>
      <c r="S117" s="32" t="s">
        <v>464</v>
      </c>
      <c r="T117" s="3">
        <v>800000000</v>
      </c>
      <c r="U117" s="3" t="s">
        <v>410</v>
      </c>
    </row>
    <row r="118" spans="1:21" x14ac:dyDescent="0.35">
      <c r="B118" s="29"/>
      <c r="C118" s="141"/>
      <c r="D118" s="29"/>
      <c r="E118" s="29"/>
      <c r="F118" s="131"/>
      <c r="G118" s="131"/>
      <c r="H118" s="131"/>
      <c r="I118" s="131"/>
      <c r="J118" s="131"/>
      <c r="K118" s="131"/>
      <c r="L118" s="53">
        <v>0</v>
      </c>
      <c r="M118" s="53">
        <v>0</v>
      </c>
      <c r="N118" s="53">
        <v>0</v>
      </c>
      <c r="O118" s="53">
        <v>0</v>
      </c>
      <c r="P118" s="55"/>
      <c r="Q118" s="56"/>
      <c r="R118" s="58"/>
      <c r="S118" s="266"/>
    </row>
    <row r="119" spans="1:21" ht="15.5" x14ac:dyDescent="0.35">
      <c r="B119" s="29"/>
      <c r="C119" s="6" t="s">
        <v>467</v>
      </c>
      <c r="D119" s="29"/>
      <c r="E119" s="29"/>
      <c r="F119" s="58">
        <f>F117</f>
        <v>700000000</v>
      </c>
      <c r="G119" s="58"/>
      <c r="H119" s="58"/>
      <c r="I119" s="58">
        <f>I117</f>
        <v>800000000</v>
      </c>
      <c r="J119" s="58"/>
      <c r="K119" s="58">
        <f>K117</f>
        <v>800000000</v>
      </c>
      <c r="L119" s="57">
        <f>SUM(L5:L117)</f>
        <v>5272979</v>
      </c>
      <c r="M119" s="57">
        <f>SUM(M5:M117)</f>
        <v>995144.95999999985</v>
      </c>
      <c r="N119" s="57">
        <f>SUM(N5:N117)</f>
        <v>153710</v>
      </c>
      <c r="O119" s="57">
        <f>SUM(O5:O117)</f>
        <v>6677433.9600000009</v>
      </c>
      <c r="P119" s="55"/>
      <c r="Q119" s="33"/>
      <c r="R119" s="58">
        <f>R117</f>
        <v>800000000</v>
      </c>
      <c r="S119" s="265"/>
    </row>
    <row r="121" spans="1:21" ht="23.5" x14ac:dyDescent="0.35">
      <c r="C121" s="353" t="s">
        <v>479</v>
      </c>
      <c r="D121" s="354"/>
      <c r="E121" s="354"/>
      <c r="F121" s="356">
        <f>F119+F114+F74+F55+F21</f>
        <v>3601210805</v>
      </c>
      <c r="G121" s="355"/>
      <c r="H121" s="355"/>
      <c r="I121" s="356">
        <f>I119+I114+I74+I55+I21</f>
        <v>11140399768.200001</v>
      </c>
      <c r="J121" s="356">
        <f t="shared" ref="J121:R121" si="15">J119+J114+J74+J55+J21</f>
        <v>5058141012.473567</v>
      </c>
      <c r="K121" s="356">
        <f t="shared" si="15"/>
        <v>5688165343.7264338</v>
      </c>
      <c r="L121" s="356">
        <f t="shared" si="15"/>
        <v>7835107</v>
      </c>
      <c r="M121" s="356">
        <f t="shared" si="15"/>
        <v>1479332.44</v>
      </c>
      <c r="N121" s="356">
        <f t="shared" si="15"/>
        <v>230565</v>
      </c>
      <c r="O121" s="356">
        <f t="shared" si="15"/>
        <v>9928404.4400000013</v>
      </c>
      <c r="P121" s="356" t="e">
        <f t="shared" si="15"/>
        <v>#VALUE!</v>
      </c>
      <c r="Q121" s="356" t="e">
        <f t="shared" si="15"/>
        <v>#VALUE!</v>
      </c>
      <c r="R121" s="356">
        <f t="shared" si="15"/>
        <v>4533546298.1999998</v>
      </c>
      <c r="S121" s="351"/>
    </row>
    <row r="122" spans="1:21" ht="21" x14ac:dyDescent="0.35">
      <c r="C122" s="352" t="s">
        <v>480</v>
      </c>
      <c r="I122" s="282"/>
      <c r="J122" s="282"/>
      <c r="K122" s="282"/>
      <c r="L122" s="282"/>
      <c r="M122" s="282"/>
      <c r="N122" s="282"/>
      <c r="O122" s="282"/>
      <c r="P122" s="282"/>
      <c r="Q122" s="282"/>
      <c r="R122" s="356">
        <f>R121*15%</f>
        <v>680031944.7299999</v>
      </c>
    </row>
    <row r="123" spans="1:21" ht="21" x14ac:dyDescent="0.35">
      <c r="C123" s="352" t="s">
        <v>481</v>
      </c>
      <c r="I123" s="282"/>
      <c r="J123" s="282"/>
      <c r="K123" s="282"/>
      <c r="L123" s="282"/>
      <c r="M123" s="282"/>
      <c r="N123" s="282"/>
      <c r="O123" s="282"/>
      <c r="P123" s="282"/>
      <c r="Q123" s="282"/>
      <c r="R123" s="357">
        <f>R122*2%</f>
        <v>13600638.894599998</v>
      </c>
    </row>
    <row r="124" spans="1:21" ht="24" customHeight="1" x14ac:dyDescent="0.35">
      <c r="B124" s="3"/>
      <c r="C124" s="3"/>
      <c r="D124" s="3"/>
      <c r="E124" s="3"/>
      <c r="F124" s="3"/>
      <c r="G124" s="3"/>
      <c r="H124" s="3"/>
      <c r="I124" s="3"/>
      <c r="J124" s="3"/>
      <c r="K124" s="3"/>
      <c r="L124" s="3"/>
      <c r="M124" s="3"/>
      <c r="N124" s="3"/>
      <c r="O124" s="3"/>
      <c r="Q124" s="3"/>
      <c r="R124" s="3"/>
      <c r="S124" s="3"/>
    </row>
    <row r="125" spans="1:21" ht="21" customHeight="1" x14ac:dyDescent="0.35">
      <c r="B125" s="3"/>
      <c r="C125" s="3" t="s">
        <v>485</v>
      </c>
      <c r="D125" s="3"/>
      <c r="E125" s="3"/>
      <c r="F125" s="3"/>
      <c r="G125" s="3"/>
      <c r="H125" s="3"/>
      <c r="I125" s="3"/>
      <c r="J125" s="3"/>
      <c r="K125" s="3"/>
      <c r="L125" s="3"/>
      <c r="M125" s="3"/>
      <c r="N125" s="3"/>
      <c r="O125" s="3"/>
      <c r="Q125" s="3"/>
      <c r="R125" s="3">
        <v>50000000</v>
      </c>
      <c r="S125" s="3"/>
    </row>
    <row r="126" spans="1:21" x14ac:dyDescent="0.35">
      <c r="B126" s="3"/>
      <c r="C126" s="3" t="s">
        <v>486</v>
      </c>
      <c r="D126" s="3"/>
      <c r="E126" s="3"/>
      <c r="F126" s="3"/>
      <c r="G126" s="3"/>
      <c r="H126" s="3"/>
      <c r="I126" s="3"/>
      <c r="J126" s="3"/>
      <c r="K126" s="3"/>
      <c r="L126" s="3"/>
      <c r="M126" s="3"/>
      <c r="N126" s="3"/>
      <c r="O126" s="3"/>
      <c r="Q126" s="3"/>
      <c r="R126" s="3">
        <v>400000000</v>
      </c>
      <c r="S126" s="3"/>
    </row>
    <row r="127" spans="1:21" ht="47.25" customHeight="1" x14ac:dyDescent="0.35">
      <c r="B127" s="3"/>
      <c r="C127" s="3"/>
      <c r="D127" s="3"/>
      <c r="E127" s="3"/>
      <c r="F127" s="3"/>
      <c r="G127" s="3"/>
      <c r="H127" s="3"/>
      <c r="I127" s="3"/>
      <c r="J127" s="3"/>
      <c r="K127" s="3"/>
      <c r="L127" s="3"/>
      <c r="M127" s="3"/>
      <c r="N127" s="3"/>
      <c r="O127" s="3"/>
      <c r="Q127" s="3"/>
      <c r="R127" s="3"/>
      <c r="S127" s="3"/>
    </row>
    <row r="128" spans="1:21" ht="15.75" customHeight="1" x14ac:dyDescent="0.35">
      <c r="B128" s="3"/>
      <c r="C128" s="3"/>
      <c r="D128" s="3"/>
      <c r="E128" s="3"/>
      <c r="F128" s="3"/>
      <c r="G128" s="3"/>
      <c r="H128" s="3"/>
      <c r="I128" s="3"/>
      <c r="J128" s="3"/>
      <c r="K128" s="3"/>
      <c r="L128" s="3"/>
      <c r="M128" s="3"/>
      <c r="N128" s="3"/>
      <c r="O128" s="3"/>
      <c r="Q128" s="3"/>
      <c r="R128" s="3"/>
      <c r="S128" s="3"/>
    </row>
    <row r="129" spans="3:14" s="3" customFormat="1" ht="15.5" x14ac:dyDescent="0.35">
      <c r="C129" s="76"/>
      <c r="D129" s="77"/>
      <c r="E129" s="77"/>
      <c r="F129" s="76"/>
      <c r="G129" s="76"/>
      <c r="H129" s="76"/>
      <c r="I129" s="76"/>
      <c r="J129" s="76"/>
      <c r="K129" s="76"/>
      <c r="L129" s="76"/>
      <c r="M129" s="37"/>
      <c r="N129" s="35"/>
    </row>
    <row r="130" spans="3:14" s="3" customFormat="1" ht="15.5" x14ac:dyDescent="0.35">
      <c r="C130" s="76"/>
      <c r="D130" s="76"/>
      <c r="E130" s="76"/>
      <c r="F130" s="76"/>
      <c r="G130" s="76"/>
      <c r="H130" s="76"/>
      <c r="I130" s="76"/>
      <c r="J130" s="76"/>
      <c r="K130" s="76"/>
      <c r="L130" s="76"/>
      <c r="M130" s="37"/>
      <c r="N130" s="35"/>
    </row>
    <row r="132" spans="3:14" s="3" customFormat="1" x14ac:dyDescent="0.35">
      <c r="C132" s="2"/>
      <c r="D132" s="2"/>
      <c r="E132" s="2"/>
      <c r="F132" s="50"/>
      <c r="G132" s="50"/>
      <c r="H132" s="50"/>
      <c r="I132" s="50"/>
      <c r="J132" s="50"/>
      <c r="K132" s="50"/>
      <c r="L132" s="50"/>
      <c r="M132" s="37"/>
      <c r="N132" s="37"/>
    </row>
    <row r="158" spans="2:20" ht="43.5" x14ac:dyDescent="0.35">
      <c r="B158" s="29">
        <v>15</v>
      </c>
      <c r="C158" s="55" t="s">
        <v>102</v>
      </c>
      <c r="D158" s="29"/>
      <c r="E158" s="29"/>
      <c r="F158" s="80">
        <v>170000000</v>
      </c>
      <c r="G158" s="80">
        <f>Annexures!D214</f>
        <v>139456731.93000001</v>
      </c>
      <c r="H158" s="80">
        <f>Annexures!M214</f>
        <v>102643975.93000001</v>
      </c>
      <c r="I158" s="80">
        <f>Annexures!O214</f>
        <v>180000000</v>
      </c>
      <c r="J158" s="80">
        <f>Annexures!P214</f>
        <v>51300000</v>
      </c>
      <c r="K158" s="80">
        <f>Annexures!Q214</f>
        <v>117975000</v>
      </c>
      <c r="L158" s="81">
        <v>78625</v>
      </c>
      <c r="M158" s="81">
        <f>L158*18%</f>
        <v>14152.5</v>
      </c>
      <c r="N158" s="81">
        <v>0</v>
      </c>
      <c r="O158" s="81">
        <f>L158+M158+N158</f>
        <v>92777.5</v>
      </c>
      <c r="P158" s="55" t="s">
        <v>19</v>
      </c>
      <c r="Q158" s="52" t="s">
        <v>103</v>
      </c>
      <c r="R158" s="55">
        <v>2500000</v>
      </c>
      <c r="S158" s="302" t="s">
        <v>457</v>
      </c>
      <c r="T158" s="301"/>
    </row>
  </sheetData>
  <autoFilter ref="B4:T119"/>
  <mergeCells count="25">
    <mergeCell ref="R97:R99"/>
    <mergeCell ref="S97:S99"/>
    <mergeCell ref="I3:K3"/>
    <mergeCell ref="G3:H3"/>
    <mergeCell ref="G97:G99"/>
    <mergeCell ref="H97:H99"/>
    <mergeCell ref="I97:I99"/>
    <mergeCell ref="J97:J99"/>
    <mergeCell ref="K97:K99"/>
    <mergeCell ref="T34:T37"/>
    <mergeCell ref="R34:R37"/>
    <mergeCell ref="Q34:Q37"/>
    <mergeCell ref="B2:Q2"/>
    <mergeCell ref="F34:F37"/>
    <mergeCell ref="L34:L37"/>
    <mergeCell ref="M34:M37"/>
    <mergeCell ref="N34:N37"/>
    <mergeCell ref="O34:O37"/>
    <mergeCell ref="P34:P37"/>
    <mergeCell ref="E15:E19"/>
    <mergeCell ref="G34:G37"/>
    <mergeCell ref="H34:H37"/>
    <mergeCell ref="I34:I37"/>
    <mergeCell ref="J34:J37"/>
    <mergeCell ref="K34:K37"/>
  </mergeCells>
  <pageMargins left="0.27559055118110198" right="0.23622047244094499" top="0.74803149606299202" bottom="0.511811023622047" header="0.31496062992126" footer="0.31496062992126"/>
  <pageSetup paperSize="9" fitToHeight="4" orientation="portrait" verticalDpi="300" r:id="rId1"/>
  <ignoredErrors>
    <ignoredError sqref="G34:H37" formulaRange="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workbookViewId="0">
      <selection activeCell="E6" sqref="E6"/>
    </sheetView>
  </sheetViews>
  <sheetFormatPr defaultColWidth="9.1796875" defaultRowHeight="14.5" x14ac:dyDescent="0.35"/>
  <cols>
    <col min="1" max="1" width="3.54296875" style="3" customWidth="1"/>
    <col min="2" max="2" width="5.1796875" style="1" customWidth="1"/>
    <col min="3" max="3" width="45.7265625" style="2" customWidth="1"/>
    <col min="4" max="4" width="9.81640625" style="1" customWidth="1"/>
    <col min="5" max="5" width="18.26953125" style="37" customWidth="1"/>
    <col min="6" max="6" width="15.1796875" style="37" customWidth="1"/>
    <col min="7" max="7" width="12.54296875" style="37" customWidth="1"/>
    <col min="8" max="8" width="12.81640625" style="37" customWidth="1"/>
    <col min="9" max="13" width="15.26953125" style="37" customWidth="1"/>
    <col min="14" max="14" width="23.7265625" style="3" customWidth="1"/>
    <col min="15" max="15" width="52" style="2" customWidth="1"/>
    <col min="16" max="16" width="11.1796875" style="3" bestFit="1" customWidth="1"/>
    <col min="17" max="16384" width="9.1796875" style="3"/>
  </cols>
  <sheetData>
    <row r="1" spans="1:16" x14ac:dyDescent="0.35">
      <c r="A1" s="3" t="s">
        <v>153</v>
      </c>
      <c r="E1" s="36"/>
    </row>
    <row r="2" spans="1:16" ht="17" x14ac:dyDescent="0.35">
      <c r="B2" s="640" t="s">
        <v>157</v>
      </c>
      <c r="C2" s="640"/>
      <c r="D2" s="640"/>
      <c r="E2" s="640"/>
      <c r="F2" s="640"/>
      <c r="G2" s="640"/>
      <c r="H2" s="640"/>
      <c r="I2" s="640"/>
      <c r="J2" s="640"/>
      <c r="K2" s="640"/>
      <c r="L2" s="640"/>
      <c r="M2" s="640"/>
      <c r="N2" s="640"/>
      <c r="O2" s="640"/>
    </row>
    <row r="3" spans="1:16" x14ac:dyDescent="0.35">
      <c r="B3" s="4"/>
      <c r="C3" s="4"/>
      <c r="F3" s="669" t="s">
        <v>160</v>
      </c>
      <c r="G3" s="669"/>
      <c r="H3" s="669"/>
      <c r="I3" s="669"/>
      <c r="J3" s="669" t="s">
        <v>161</v>
      </c>
      <c r="K3" s="669"/>
      <c r="L3" s="669"/>
      <c r="M3" s="669"/>
    </row>
    <row r="4" spans="1:16" s="5" customFormat="1" ht="36" customHeight="1" x14ac:dyDescent="0.35">
      <c r="B4" s="51" t="s">
        <v>0</v>
      </c>
      <c r="C4" s="6" t="s">
        <v>1</v>
      </c>
      <c r="D4" s="6" t="s">
        <v>2</v>
      </c>
      <c r="E4" s="51" t="s">
        <v>155</v>
      </c>
      <c r="F4" s="6" t="s">
        <v>4</v>
      </c>
      <c r="G4" s="6" t="s">
        <v>5</v>
      </c>
      <c r="H4" s="6" t="s">
        <v>6</v>
      </c>
      <c r="I4" s="6" t="s">
        <v>154</v>
      </c>
      <c r="J4" s="6" t="s">
        <v>4</v>
      </c>
      <c r="K4" s="6" t="s">
        <v>5</v>
      </c>
      <c r="L4" s="6" t="s">
        <v>6</v>
      </c>
      <c r="M4" s="6" t="s">
        <v>154</v>
      </c>
      <c r="N4" s="51" t="s">
        <v>3</v>
      </c>
      <c r="O4" s="51" t="s">
        <v>156</v>
      </c>
    </row>
    <row r="5" spans="1:16" s="5" customFormat="1" ht="19.5" x14ac:dyDescent="0.35">
      <c r="B5" s="7" t="s">
        <v>7</v>
      </c>
      <c r="C5" s="38"/>
      <c r="D5" s="8"/>
      <c r="E5" s="39"/>
      <c r="F5" s="39"/>
      <c r="G5" s="39"/>
      <c r="H5" s="39"/>
      <c r="I5" s="39"/>
      <c r="J5" s="39"/>
      <c r="K5" s="39"/>
      <c r="L5" s="39"/>
      <c r="M5" s="39"/>
      <c r="N5" s="8"/>
      <c r="O5" s="51"/>
    </row>
    <row r="6" spans="1:16" ht="48.75" customHeight="1" x14ac:dyDescent="0.35">
      <c r="B6" s="10">
        <v>1</v>
      </c>
      <c r="C6" s="11" t="s">
        <v>8</v>
      </c>
      <c r="D6" s="13">
        <v>1</v>
      </c>
      <c r="E6" s="14">
        <v>200000000</v>
      </c>
      <c r="F6" s="40">
        <v>264000</v>
      </c>
      <c r="G6" s="41">
        <f t="shared" ref="G6:G13" si="0">F6*18%</f>
        <v>47520</v>
      </c>
      <c r="H6" s="41">
        <v>20000</v>
      </c>
      <c r="I6" s="41">
        <f>F6+G6+H6</f>
        <v>331520</v>
      </c>
      <c r="J6" s="41"/>
      <c r="K6" s="41"/>
      <c r="L6" s="41"/>
      <c r="M6" s="41"/>
      <c r="N6" s="16" t="s">
        <v>10</v>
      </c>
      <c r="O6" s="12" t="s">
        <v>9</v>
      </c>
      <c r="P6" s="42"/>
    </row>
    <row r="7" spans="1:16" ht="58" x14ac:dyDescent="0.35">
      <c r="B7" s="10">
        <v>2</v>
      </c>
      <c r="C7" s="11" t="s">
        <v>11</v>
      </c>
      <c r="D7" s="13">
        <v>1</v>
      </c>
      <c r="E7" s="14">
        <v>30000000</v>
      </c>
      <c r="F7" s="41">
        <v>39000</v>
      </c>
      <c r="G7" s="41">
        <f t="shared" si="0"/>
        <v>7020</v>
      </c>
      <c r="H7" s="41">
        <v>3000</v>
      </c>
      <c r="I7" s="41">
        <f t="shared" ref="I7:I20" si="1">F7+G7+H7</f>
        <v>49020</v>
      </c>
      <c r="J7" s="41"/>
      <c r="K7" s="41"/>
      <c r="L7" s="41"/>
      <c r="M7" s="41"/>
      <c r="N7" s="16" t="s">
        <v>10</v>
      </c>
      <c r="O7" s="12" t="s">
        <v>12</v>
      </c>
      <c r="P7" s="42"/>
    </row>
    <row r="8" spans="1:16" ht="43.5" x14ac:dyDescent="0.35">
      <c r="B8" s="10">
        <v>3</v>
      </c>
      <c r="C8" s="11" t="s">
        <v>13</v>
      </c>
      <c r="D8" s="13">
        <v>26</v>
      </c>
      <c r="E8" s="14">
        <v>30000000</v>
      </c>
      <c r="F8" s="41">
        <v>58650</v>
      </c>
      <c r="G8" s="41">
        <f t="shared" si="0"/>
        <v>10557</v>
      </c>
      <c r="H8" s="41">
        <v>3000</v>
      </c>
      <c r="I8" s="41">
        <f t="shared" si="1"/>
        <v>72207</v>
      </c>
      <c r="J8" s="41"/>
      <c r="K8" s="41"/>
      <c r="L8" s="41"/>
      <c r="M8" s="41"/>
      <c r="N8" s="16" t="s">
        <v>10</v>
      </c>
      <c r="O8" s="12" t="s">
        <v>14</v>
      </c>
      <c r="P8" s="42"/>
    </row>
    <row r="9" spans="1:16" ht="15.5" x14ac:dyDescent="0.35">
      <c r="B9" s="10">
        <v>4</v>
      </c>
      <c r="C9" s="11" t="s">
        <v>15</v>
      </c>
      <c r="D9" s="13">
        <v>1</v>
      </c>
      <c r="E9" s="14">
        <v>1425000</v>
      </c>
      <c r="F9" s="41">
        <v>6163</v>
      </c>
      <c r="G9" s="41">
        <f t="shared" si="0"/>
        <v>1109.3399999999999</v>
      </c>
      <c r="H9" s="41">
        <v>0</v>
      </c>
      <c r="I9" s="41">
        <f t="shared" si="1"/>
        <v>7272.34</v>
      </c>
      <c r="J9" s="41"/>
      <c r="K9" s="41"/>
      <c r="L9" s="41"/>
      <c r="M9" s="41"/>
      <c r="N9" s="16" t="s">
        <v>10</v>
      </c>
      <c r="O9" s="12" t="s">
        <v>16</v>
      </c>
      <c r="P9" s="42"/>
    </row>
    <row r="10" spans="1:16" ht="29" x14ac:dyDescent="0.35">
      <c r="B10" s="10">
        <v>5</v>
      </c>
      <c r="C10" s="11" t="s">
        <v>17</v>
      </c>
      <c r="D10" s="13">
        <v>1</v>
      </c>
      <c r="E10" s="14">
        <v>2375000</v>
      </c>
      <c r="F10" s="41">
        <v>1098</v>
      </c>
      <c r="G10" s="41">
        <f t="shared" si="0"/>
        <v>197.64</v>
      </c>
      <c r="H10" s="41">
        <v>0</v>
      </c>
      <c r="I10" s="41">
        <f t="shared" si="1"/>
        <v>1295.6399999999999</v>
      </c>
      <c r="J10" s="41"/>
      <c r="K10" s="41"/>
      <c r="L10" s="41"/>
      <c r="M10" s="41"/>
      <c r="N10" s="16" t="s">
        <v>19</v>
      </c>
      <c r="O10" s="12" t="s">
        <v>18</v>
      </c>
      <c r="P10" s="42"/>
    </row>
    <row r="11" spans="1:16" ht="15.5" x14ac:dyDescent="0.35">
      <c r="B11" s="10">
        <v>6</v>
      </c>
      <c r="C11" s="11" t="s">
        <v>20</v>
      </c>
      <c r="D11" s="13">
        <v>1</v>
      </c>
      <c r="E11" s="14">
        <v>2500000</v>
      </c>
      <c r="F11" s="41">
        <v>11969</v>
      </c>
      <c r="G11" s="41">
        <f t="shared" si="0"/>
        <v>2154.42</v>
      </c>
      <c r="H11" s="41">
        <v>0</v>
      </c>
      <c r="I11" s="41">
        <f t="shared" si="1"/>
        <v>14123.42</v>
      </c>
      <c r="J11" s="41"/>
      <c r="K11" s="41"/>
      <c r="L11" s="41"/>
      <c r="M11" s="41"/>
      <c r="N11" s="16" t="s">
        <v>10</v>
      </c>
      <c r="O11" s="12" t="s">
        <v>21</v>
      </c>
      <c r="P11" s="42"/>
    </row>
    <row r="12" spans="1:16" ht="15.5" x14ac:dyDescent="0.35">
      <c r="B12" s="10">
        <v>7</v>
      </c>
      <c r="C12" s="11" t="s">
        <v>22</v>
      </c>
      <c r="D12" s="13"/>
      <c r="E12" s="14">
        <v>23750000</v>
      </c>
      <c r="F12" s="41">
        <v>118750</v>
      </c>
      <c r="G12" s="41">
        <f t="shared" si="0"/>
        <v>21375</v>
      </c>
      <c r="H12" s="41">
        <v>0</v>
      </c>
      <c r="I12" s="41">
        <f t="shared" si="1"/>
        <v>140125</v>
      </c>
      <c r="J12" s="41"/>
      <c r="K12" s="41"/>
      <c r="L12" s="41"/>
      <c r="M12" s="41"/>
      <c r="N12" s="16" t="s">
        <v>19</v>
      </c>
      <c r="O12" s="12" t="s">
        <v>23</v>
      </c>
      <c r="P12" s="42"/>
    </row>
    <row r="13" spans="1:16" ht="15.5" x14ac:dyDescent="0.35">
      <c r="B13" s="10">
        <v>8</v>
      </c>
      <c r="C13" s="17" t="s">
        <v>24</v>
      </c>
      <c r="D13" s="18"/>
      <c r="E13" s="19">
        <v>43400000</v>
      </c>
      <c r="F13" s="41">
        <v>20073</v>
      </c>
      <c r="G13" s="41">
        <f t="shared" si="0"/>
        <v>3613.14</v>
      </c>
      <c r="H13" s="41"/>
      <c r="I13" s="41">
        <f t="shared" si="1"/>
        <v>23686.14</v>
      </c>
      <c r="J13" s="41"/>
      <c r="K13" s="41"/>
      <c r="L13" s="41"/>
      <c r="M13" s="41"/>
      <c r="N13" s="16" t="s">
        <v>19</v>
      </c>
      <c r="O13" s="12" t="s">
        <v>25</v>
      </c>
      <c r="P13" s="42"/>
    </row>
    <row r="14" spans="1:16" ht="15.5" x14ac:dyDescent="0.35">
      <c r="B14" s="20" t="s">
        <v>26</v>
      </c>
      <c r="C14" s="43"/>
      <c r="D14" s="13"/>
      <c r="E14" s="14"/>
      <c r="F14" s="30"/>
      <c r="G14" s="30"/>
      <c r="H14" s="30"/>
      <c r="I14" s="41"/>
      <c r="J14" s="41"/>
      <c r="K14" s="41"/>
      <c r="L14" s="41"/>
      <c r="M14" s="41"/>
      <c r="N14" s="16"/>
      <c r="O14" s="52"/>
      <c r="P14" s="42"/>
    </row>
    <row r="15" spans="1:16" ht="43.5" x14ac:dyDescent="0.35">
      <c r="B15" s="10">
        <v>9</v>
      </c>
      <c r="C15" s="11" t="s">
        <v>27</v>
      </c>
      <c r="D15" s="13">
        <v>1</v>
      </c>
      <c r="E15" s="14">
        <v>7600000</v>
      </c>
      <c r="F15" s="41">
        <v>38000</v>
      </c>
      <c r="G15" s="41">
        <f>F15*18%</f>
        <v>6840</v>
      </c>
      <c r="H15" s="41">
        <v>760</v>
      </c>
      <c r="I15" s="41">
        <f t="shared" si="1"/>
        <v>45600</v>
      </c>
      <c r="J15" s="41"/>
      <c r="K15" s="41"/>
      <c r="L15" s="41"/>
      <c r="M15" s="41"/>
      <c r="N15" s="16" t="s">
        <v>19</v>
      </c>
      <c r="O15" s="12" t="s">
        <v>14</v>
      </c>
      <c r="P15" s="42"/>
    </row>
    <row r="16" spans="1:16" ht="29" x14ac:dyDescent="0.35">
      <c r="B16" s="10">
        <v>10</v>
      </c>
      <c r="C16" s="11" t="s">
        <v>28</v>
      </c>
      <c r="D16" s="13">
        <v>1</v>
      </c>
      <c r="E16" s="14">
        <v>950000</v>
      </c>
      <c r="F16" s="41">
        <v>1425</v>
      </c>
      <c r="G16" s="41">
        <f>F16*18%</f>
        <v>256.5</v>
      </c>
      <c r="H16" s="41">
        <v>95</v>
      </c>
      <c r="I16" s="41">
        <f t="shared" si="1"/>
        <v>1776.5</v>
      </c>
      <c r="J16" s="41"/>
      <c r="K16" s="41"/>
      <c r="L16" s="41"/>
      <c r="M16" s="41"/>
      <c r="N16" s="16" t="s">
        <v>19</v>
      </c>
      <c r="O16" s="12" t="s">
        <v>9</v>
      </c>
      <c r="P16" s="42"/>
    </row>
    <row r="17" spans="2:16" ht="15.5" x14ac:dyDescent="0.35">
      <c r="B17" s="20" t="s">
        <v>29</v>
      </c>
      <c r="C17" s="43"/>
      <c r="D17" s="13"/>
      <c r="E17" s="14"/>
      <c r="F17" s="30"/>
      <c r="G17" s="30"/>
      <c r="H17" s="30"/>
      <c r="I17" s="41"/>
      <c r="J17" s="41"/>
      <c r="K17" s="41"/>
      <c r="L17" s="41"/>
      <c r="M17" s="41"/>
      <c r="N17" s="16"/>
      <c r="O17" s="52"/>
      <c r="P17" s="42"/>
    </row>
    <row r="18" spans="2:16" ht="15.5" x14ac:dyDescent="0.35">
      <c r="B18" s="10">
        <v>11</v>
      </c>
      <c r="C18" s="11" t="s">
        <v>30</v>
      </c>
      <c r="D18" s="13">
        <v>1</v>
      </c>
      <c r="E18" s="14">
        <v>250000000</v>
      </c>
      <c r="F18" s="41">
        <v>625000</v>
      </c>
      <c r="G18" s="41">
        <f>F18*18%</f>
        <v>112500</v>
      </c>
      <c r="H18" s="41">
        <v>25000</v>
      </c>
      <c r="I18" s="41">
        <f t="shared" si="1"/>
        <v>762500</v>
      </c>
      <c r="J18" s="41"/>
      <c r="K18" s="41"/>
      <c r="L18" s="41"/>
      <c r="M18" s="41"/>
      <c r="N18" s="16" t="s">
        <v>19</v>
      </c>
      <c r="O18" s="12" t="s">
        <v>31</v>
      </c>
      <c r="P18" s="42"/>
    </row>
    <row r="19" spans="2:16" ht="15.5" x14ac:dyDescent="0.35">
      <c r="B19" s="10">
        <v>12</v>
      </c>
      <c r="C19" s="11" t="s">
        <v>32</v>
      </c>
      <c r="D19" s="13">
        <v>1</v>
      </c>
      <c r="E19" s="14">
        <v>250000000</v>
      </c>
      <c r="F19" s="41">
        <f>'[2]Asset wise break up'!G127</f>
        <v>625000</v>
      </c>
      <c r="G19" s="41">
        <f>F19*18%</f>
        <v>112500</v>
      </c>
      <c r="H19" s="41">
        <v>25000</v>
      </c>
      <c r="I19" s="41">
        <f t="shared" si="1"/>
        <v>762500</v>
      </c>
      <c r="J19" s="41"/>
      <c r="K19" s="41"/>
      <c r="L19" s="41"/>
      <c r="M19" s="41"/>
      <c r="N19" s="16" t="s">
        <v>19</v>
      </c>
      <c r="O19" s="12" t="s">
        <v>31</v>
      </c>
      <c r="P19" s="42"/>
    </row>
    <row r="20" spans="2:16" ht="15.5" x14ac:dyDescent="0.35">
      <c r="B20" s="10">
        <v>13</v>
      </c>
      <c r="C20" s="11" t="s">
        <v>33</v>
      </c>
      <c r="D20" s="13">
        <v>1</v>
      </c>
      <c r="E20" s="14">
        <v>30000000</v>
      </c>
      <c r="F20" s="41">
        <f>'[2]Asset wise break up'!G138</f>
        <v>75000</v>
      </c>
      <c r="G20" s="41">
        <f>F20*18%</f>
        <v>13500</v>
      </c>
      <c r="H20" s="41">
        <v>3000</v>
      </c>
      <c r="I20" s="41">
        <f t="shared" si="1"/>
        <v>91500</v>
      </c>
      <c r="J20" s="41"/>
      <c r="K20" s="41"/>
      <c r="L20" s="41"/>
      <c r="M20" s="41"/>
      <c r="N20" s="16" t="s">
        <v>19</v>
      </c>
      <c r="O20" s="12" t="s">
        <v>31</v>
      </c>
      <c r="P20" s="42"/>
    </row>
    <row r="21" spans="2:16" ht="19.5" x14ac:dyDescent="0.35">
      <c r="B21" s="7" t="s">
        <v>34</v>
      </c>
      <c r="C21" s="11"/>
      <c r="D21" s="13"/>
      <c r="E21" s="14"/>
      <c r="F21" s="30"/>
      <c r="G21" s="30"/>
      <c r="H21" s="30"/>
      <c r="I21" s="30"/>
      <c r="J21" s="30"/>
      <c r="K21" s="30"/>
      <c r="L21" s="30"/>
      <c r="M21" s="30"/>
      <c r="N21" s="16"/>
      <c r="O21" s="52"/>
      <c r="P21" s="42"/>
    </row>
    <row r="22" spans="2:16" ht="15.5" x14ac:dyDescent="0.35">
      <c r="B22" s="20" t="s">
        <v>35</v>
      </c>
      <c r="C22" s="43"/>
      <c r="D22" s="13"/>
      <c r="E22" s="14"/>
      <c r="F22" s="30"/>
      <c r="G22" s="30"/>
      <c r="H22" s="30"/>
      <c r="I22" s="30"/>
      <c r="J22" s="30"/>
      <c r="K22" s="30"/>
      <c r="L22" s="30"/>
      <c r="M22" s="30"/>
      <c r="N22" s="16"/>
      <c r="O22" s="52"/>
      <c r="P22" s="42"/>
    </row>
    <row r="23" spans="2:16" ht="43.5" x14ac:dyDescent="0.35">
      <c r="B23" s="10">
        <v>1</v>
      </c>
      <c r="C23" s="11" t="s">
        <v>36</v>
      </c>
      <c r="D23" s="13"/>
      <c r="E23" s="14">
        <v>110000000</v>
      </c>
      <c r="F23" s="41">
        <v>22044</v>
      </c>
      <c r="G23" s="41">
        <f>F23*18%</f>
        <v>3967.92</v>
      </c>
      <c r="H23" s="41">
        <v>0</v>
      </c>
      <c r="I23" s="41">
        <f>F23+G23+H23</f>
        <v>26011.919999999998</v>
      </c>
      <c r="J23" s="41"/>
      <c r="K23" s="41"/>
      <c r="L23" s="41"/>
      <c r="M23" s="41"/>
      <c r="N23" s="16" t="s">
        <v>19</v>
      </c>
      <c r="O23" s="12" t="s">
        <v>37</v>
      </c>
      <c r="P23" s="42"/>
    </row>
    <row r="24" spans="2:16" ht="19.5" x14ac:dyDescent="0.35">
      <c r="B24" s="7" t="s">
        <v>38</v>
      </c>
      <c r="C24" s="11"/>
      <c r="D24" s="13"/>
      <c r="E24" s="14"/>
      <c r="F24" s="30"/>
      <c r="G24" s="30"/>
      <c r="H24" s="30"/>
      <c r="I24" s="30"/>
      <c r="J24" s="30"/>
      <c r="K24" s="30"/>
      <c r="L24" s="30"/>
      <c r="M24" s="30"/>
      <c r="N24" s="16"/>
      <c r="O24" s="52"/>
      <c r="P24" s="42"/>
    </row>
    <row r="25" spans="2:16" ht="15.5" x14ac:dyDescent="0.35">
      <c r="B25" s="20" t="s">
        <v>39</v>
      </c>
      <c r="C25" s="43"/>
      <c r="D25" s="13"/>
      <c r="E25" s="14"/>
      <c r="F25" s="30"/>
      <c r="G25" s="30"/>
      <c r="H25" s="30"/>
      <c r="I25" s="30"/>
      <c r="J25" s="30"/>
      <c r="K25" s="30"/>
      <c r="L25" s="30"/>
      <c r="M25" s="30"/>
      <c r="N25" s="16"/>
      <c r="O25" s="52"/>
      <c r="P25" s="42"/>
    </row>
    <row r="26" spans="2:16" ht="15.5" x14ac:dyDescent="0.35">
      <c r="B26" s="20" t="s">
        <v>40</v>
      </c>
      <c r="C26" s="21"/>
      <c r="D26" s="13"/>
      <c r="E26" s="14"/>
      <c r="F26" s="30"/>
      <c r="G26" s="30"/>
      <c r="H26" s="30"/>
      <c r="I26" s="30"/>
      <c r="J26" s="30"/>
      <c r="K26" s="30"/>
      <c r="L26" s="30"/>
      <c r="M26" s="30"/>
      <c r="N26" s="16"/>
      <c r="O26" s="52"/>
      <c r="P26" s="42"/>
    </row>
    <row r="27" spans="2:16" ht="31" x14ac:dyDescent="0.35">
      <c r="B27" s="10">
        <v>1</v>
      </c>
      <c r="C27" s="11" t="s">
        <v>41</v>
      </c>
      <c r="D27" s="13" t="s">
        <v>43</v>
      </c>
      <c r="E27" s="14">
        <v>6032000</v>
      </c>
      <c r="F27" s="30">
        <v>3921</v>
      </c>
      <c r="G27" s="30">
        <v>706</v>
      </c>
      <c r="H27" s="30"/>
      <c r="I27" s="41">
        <f t="shared" ref="I27:I33" si="2">F27+G27+H27</f>
        <v>4627</v>
      </c>
      <c r="J27" s="41"/>
      <c r="K27" s="41"/>
      <c r="L27" s="41"/>
      <c r="M27" s="41">
        <f>J27+K27+L27</f>
        <v>0</v>
      </c>
      <c r="N27" s="16" t="s">
        <v>44</v>
      </c>
      <c r="O27" s="12" t="s">
        <v>42</v>
      </c>
      <c r="P27" s="42"/>
    </row>
    <row r="28" spans="2:16" ht="31" x14ac:dyDescent="0.35">
      <c r="B28" s="10">
        <v>2</v>
      </c>
      <c r="C28" s="11" t="s">
        <v>45</v>
      </c>
      <c r="D28" s="13" t="s">
        <v>46</v>
      </c>
      <c r="E28" s="14">
        <v>2720000</v>
      </c>
      <c r="F28" s="41">
        <v>1768</v>
      </c>
      <c r="G28" s="41">
        <f>F28*18%</f>
        <v>318.24</v>
      </c>
      <c r="H28" s="41">
        <v>0</v>
      </c>
      <c r="I28" s="41">
        <f t="shared" si="2"/>
        <v>2086.2399999999998</v>
      </c>
      <c r="J28" s="41"/>
      <c r="K28" s="41"/>
      <c r="L28" s="41"/>
      <c r="M28" s="41">
        <f>J28+K28+L28</f>
        <v>0</v>
      </c>
      <c r="N28" s="16" t="s">
        <v>44</v>
      </c>
      <c r="O28" s="12" t="s">
        <v>42</v>
      </c>
      <c r="P28" s="42"/>
    </row>
    <row r="29" spans="2:16" ht="29" x14ac:dyDescent="0.35">
      <c r="B29" s="10">
        <v>3</v>
      </c>
      <c r="C29" s="16" t="s">
        <v>47</v>
      </c>
      <c r="D29" s="10" t="s">
        <v>48</v>
      </c>
      <c r="E29" s="14">
        <v>3248000</v>
      </c>
      <c r="F29" s="41">
        <v>2111</v>
      </c>
      <c r="G29" s="41">
        <f>F29*18%</f>
        <v>379.97999999999996</v>
      </c>
      <c r="H29" s="41">
        <v>0</v>
      </c>
      <c r="I29" s="41">
        <f t="shared" si="2"/>
        <v>2490.98</v>
      </c>
      <c r="J29" s="41"/>
      <c r="K29" s="41"/>
      <c r="L29" s="41"/>
      <c r="M29" s="41">
        <f>J29+K29+L29</f>
        <v>0</v>
      </c>
      <c r="N29" s="16" t="s">
        <v>44</v>
      </c>
      <c r="O29" s="12" t="s">
        <v>42</v>
      </c>
      <c r="P29" s="42"/>
    </row>
    <row r="30" spans="2:16" ht="15.5" x14ac:dyDescent="0.35">
      <c r="B30" s="20" t="s">
        <v>49</v>
      </c>
      <c r="C30" s="43"/>
      <c r="D30" s="10"/>
      <c r="E30" s="14"/>
      <c r="F30" s="30"/>
      <c r="G30" s="30"/>
      <c r="H30" s="30"/>
      <c r="I30" s="41"/>
      <c r="J30" s="41"/>
      <c r="K30" s="41"/>
      <c r="L30" s="41"/>
      <c r="M30" s="41"/>
      <c r="N30" s="16"/>
      <c r="O30" s="52"/>
      <c r="P30" s="42"/>
    </row>
    <row r="31" spans="2:16" ht="31" x14ac:dyDescent="0.35">
      <c r="B31" s="10">
        <v>4</v>
      </c>
      <c r="C31" s="11" t="s">
        <v>50</v>
      </c>
      <c r="D31" s="13" t="s">
        <v>51</v>
      </c>
      <c r="E31" s="14">
        <v>22560000</v>
      </c>
      <c r="F31" s="41">
        <v>14664</v>
      </c>
      <c r="G31" s="41">
        <f>F31*18%</f>
        <v>2639.52</v>
      </c>
      <c r="H31" s="44">
        <v>0</v>
      </c>
      <c r="I31" s="41">
        <f t="shared" si="2"/>
        <v>17303.52</v>
      </c>
      <c r="J31" s="41"/>
      <c r="K31" s="41"/>
      <c r="L31" s="41"/>
      <c r="M31" s="41">
        <f>J31+K31+L31</f>
        <v>0</v>
      </c>
      <c r="N31" s="16" t="s">
        <v>44</v>
      </c>
      <c r="O31" s="12" t="s">
        <v>42</v>
      </c>
      <c r="P31" s="42"/>
    </row>
    <row r="32" spans="2:16" ht="31" x14ac:dyDescent="0.35">
      <c r="B32" s="10">
        <v>5</v>
      </c>
      <c r="C32" s="11" t="s">
        <v>52</v>
      </c>
      <c r="D32" s="13" t="s">
        <v>53</v>
      </c>
      <c r="E32" s="14">
        <v>10320000</v>
      </c>
      <c r="F32" s="41">
        <v>6708</v>
      </c>
      <c r="G32" s="41">
        <f>F32*18%</f>
        <v>1207.44</v>
      </c>
      <c r="H32" s="44">
        <v>0</v>
      </c>
      <c r="I32" s="41">
        <f t="shared" si="2"/>
        <v>7915.4400000000005</v>
      </c>
      <c r="J32" s="41"/>
      <c r="K32" s="41"/>
      <c r="L32" s="41"/>
      <c r="M32" s="41">
        <f>J32+K32+L32</f>
        <v>0</v>
      </c>
      <c r="N32" s="16" t="s">
        <v>44</v>
      </c>
      <c r="O32" s="12" t="s">
        <v>42</v>
      </c>
      <c r="P32" s="42"/>
    </row>
    <row r="33" spans="2:16" ht="31" x14ac:dyDescent="0.35">
      <c r="B33" s="10">
        <v>6</v>
      </c>
      <c r="C33" s="11" t="s">
        <v>54</v>
      </c>
      <c r="D33" s="13" t="s">
        <v>55</v>
      </c>
      <c r="E33" s="642">
        <v>18624000</v>
      </c>
      <c r="F33" s="633">
        <v>12106</v>
      </c>
      <c r="G33" s="633">
        <f>F33*18%</f>
        <v>2179.08</v>
      </c>
      <c r="H33" s="627">
        <v>0</v>
      </c>
      <c r="I33" s="634">
        <f t="shared" si="2"/>
        <v>14285.08</v>
      </c>
      <c r="J33" s="59"/>
      <c r="K33" s="59"/>
      <c r="L33" s="59"/>
      <c r="M33" s="41">
        <f>J33+K33+L33</f>
        <v>0</v>
      </c>
      <c r="N33" s="635" t="s">
        <v>44</v>
      </c>
      <c r="O33" s="668" t="s">
        <v>42</v>
      </c>
      <c r="P33" s="42"/>
    </row>
    <row r="34" spans="2:16" ht="31" x14ac:dyDescent="0.35">
      <c r="B34" s="10">
        <v>7</v>
      </c>
      <c r="C34" s="11" t="s">
        <v>56</v>
      </c>
      <c r="D34" s="13" t="s">
        <v>57</v>
      </c>
      <c r="E34" s="642"/>
      <c r="F34" s="633"/>
      <c r="G34" s="633"/>
      <c r="H34" s="627"/>
      <c r="I34" s="634"/>
      <c r="J34" s="59"/>
      <c r="K34" s="59"/>
      <c r="L34" s="59"/>
      <c r="M34" s="59"/>
      <c r="N34" s="635"/>
      <c r="O34" s="668"/>
      <c r="P34" s="42"/>
    </row>
    <row r="35" spans="2:16" ht="31" x14ac:dyDescent="0.35">
      <c r="B35" s="10">
        <v>8</v>
      </c>
      <c r="C35" s="11" t="s">
        <v>58</v>
      </c>
      <c r="D35" s="13" t="s">
        <v>59</v>
      </c>
      <c r="E35" s="642"/>
      <c r="F35" s="633"/>
      <c r="G35" s="633"/>
      <c r="H35" s="627"/>
      <c r="I35" s="634"/>
      <c r="J35" s="59"/>
      <c r="K35" s="59"/>
      <c r="L35" s="59"/>
      <c r="M35" s="59"/>
      <c r="N35" s="635"/>
      <c r="O35" s="668"/>
      <c r="P35" s="42"/>
    </row>
    <row r="36" spans="2:16" ht="31" x14ac:dyDescent="0.35">
      <c r="B36" s="10">
        <v>9</v>
      </c>
      <c r="C36" s="11" t="s">
        <v>60</v>
      </c>
      <c r="D36" s="13" t="s">
        <v>61</v>
      </c>
      <c r="E36" s="642"/>
      <c r="F36" s="633"/>
      <c r="G36" s="633"/>
      <c r="H36" s="627"/>
      <c r="I36" s="634"/>
      <c r="J36" s="59"/>
      <c r="K36" s="59"/>
      <c r="L36" s="59"/>
      <c r="M36" s="59"/>
      <c r="N36" s="635"/>
      <c r="O36" s="668"/>
      <c r="P36" s="42"/>
    </row>
    <row r="37" spans="2:16" ht="43.5" x14ac:dyDescent="0.35">
      <c r="B37" s="10">
        <v>10</v>
      </c>
      <c r="C37" s="23" t="s">
        <v>62</v>
      </c>
      <c r="D37" s="24"/>
      <c r="E37" s="14">
        <v>50000000</v>
      </c>
      <c r="F37" s="41">
        <v>10020</v>
      </c>
      <c r="G37" s="41">
        <f>F37*18%</f>
        <v>1803.6</v>
      </c>
      <c r="H37" s="41">
        <v>0</v>
      </c>
      <c r="I37" s="41">
        <f t="shared" ref="I37:I100" si="3">F37+G37+H37</f>
        <v>11823.6</v>
      </c>
      <c r="J37" s="41"/>
      <c r="K37" s="41"/>
      <c r="L37" s="41"/>
      <c r="M37" s="41"/>
      <c r="N37" s="16" t="s">
        <v>19</v>
      </c>
      <c r="O37" s="12" t="s">
        <v>37</v>
      </c>
      <c r="P37" s="42"/>
    </row>
    <row r="38" spans="2:16" ht="43.5" x14ac:dyDescent="0.35">
      <c r="B38" s="10">
        <v>11</v>
      </c>
      <c r="C38" s="23" t="s">
        <v>63</v>
      </c>
      <c r="D38" s="24"/>
      <c r="E38" s="14">
        <v>420000000</v>
      </c>
      <c r="F38" s="41">
        <v>84168</v>
      </c>
      <c r="G38" s="41">
        <f>F38*18%</f>
        <v>15150.24</v>
      </c>
      <c r="H38" s="41">
        <v>0</v>
      </c>
      <c r="I38" s="41">
        <f t="shared" si="3"/>
        <v>99318.24</v>
      </c>
      <c r="J38" s="41"/>
      <c r="K38" s="41"/>
      <c r="L38" s="41"/>
      <c r="M38" s="41"/>
      <c r="N38" s="16" t="s">
        <v>19</v>
      </c>
      <c r="O38" s="12" t="s">
        <v>37</v>
      </c>
      <c r="P38" s="42"/>
    </row>
    <row r="39" spans="2:16" ht="43.5" x14ac:dyDescent="0.35">
      <c r="B39" s="10">
        <v>12</v>
      </c>
      <c r="C39" s="23" t="s">
        <v>64</v>
      </c>
      <c r="D39" s="24"/>
      <c r="E39" s="14">
        <v>150000000</v>
      </c>
      <c r="F39" s="41">
        <v>30060</v>
      </c>
      <c r="G39" s="41">
        <f>F39*18%</f>
        <v>5410.8</v>
      </c>
      <c r="H39" s="41">
        <v>0</v>
      </c>
      <c r="I39" s="41">
        <f t="shared" si="3"/>
        <v>35470.800000000003</v>
      </c>
      <c r="J39" s="41"/>
      <c r="K39" s="41"/>
      <c r="L39" s="41"/>
      <c r="M39" s="41"/>
      <c r="N39" s="16" t="s">
        <v>19</v>
      </c>
      <c r="O39" s="12" t="s">
        <v>37</v>
      </c>
      <c r="P39" s="42"/>
    </row>
    <row r="40" spans="2:16" ht="15.5" x14ac:dyDescent="0.35">
      <c r="B40" s="20" t="s">
        <v>65</v>
      </c>
      <c r="C40" s="43"/>
      <c r="D40" s="13"/>
      <c r="E40" s="14"/>
      <c r="F40" s="41"/>
      <c r="G40" s="41"/>
      <c r="H40" s="41"/>
      <c r="I40" s="41"/>
      <c r="J40" s="41"/>
      <c r="K40" s="41"/>
      <c r="L40" s="41"/>
      <c r="M40" s="41"/>
      <c r="N40" s="16"/>
      <c r="O40" s="52"/>
      <c r="P40" s="42"/>
    </row>
    <row r="41" spans="2:16" ht="31" x14ac:dyDescent="0.35">
      <c r="B41" s="10">
        <v>13</v>
      </c>
      <c r="C41" s="11" t="s">
        <v>66</v>
      </c>
      <c r="D41" s="13" t="s">
        <v>67</v>
      </c>
      <c r="E41" s="14">
        <v>54230000</v>
      </c>
      <c r="F41" s="45">
        <v>25081</v>
      </c>
      <c r="G41" s="46">
        <f>F41*18%</f>
        <v>4514.58</v>
      </c>
      <c r="H41" s="45">
        <v>0</v>
      </c>
      <c r="I41" s="41">
        <f t="shared" si="3"/>
        <v>29595.58</v>
      </c>
      <c r="J41" s="41"/>
      <c r="K41" s="41"/>
      <c r="L41" s="41"/>
      <c r="M41" s="41"/>
      <c r="N41" s="16" t="s">
        <v>19</v>
      </c>
      <c r="O41" s="12" t="s">
        <v>42</v>
      </c>
      <c r="P41" s="42"/>
    </row>
    <row r="42" spans="2:16" ht="31" x14ac:dyDescent="0.35">
      <c r="B42" s="10">
        <v>14</v>
      </c>
      <c r="C42" s="11" t="s">
        <v>68</v>
      </c>
      <c r="D42" s="13" t="s">
        <v>69</v>
      </c>
      <c r="E42" s="14">
        <v>28245000</v>
      </c>
      <c r="F42" s="45">
        <v>13063</v>
      </c>
      <c r="G42" s="46">
        <f>F42*18%</f>
        <v>2351.3399999999997</v>
      </c>
      <c r="H42" s="45">
        <v>0</v>
      </c>
      <c r="I42" s="41">
        <f t="shared" si="3"/>
        <v>15414.34</v>
      </c>
      <c r="J42" s="41"/>
      <c r="K42" s="41"/>
      <c r="L42" s="41"/>
      <c r="M42" s="41"/>
      <c r="N42" s="16" t="s">
        <v>19</v>
      </c>
      <c r="O42" s="12" t="s">
        <v>42</v>
      </c>
      <c r="P42" s="42"/>
    </row>
    <row r="43" spans="2:16" ht="43.5" x14ac:dyDescent="0.35">
      <c r="B43" s="10">
        <v>15</v>
      </c>
      <c r="C43" s="23" t="s">
        <v>70</v>
      </c>
      <c r="D43" s="24"/>
      <c r="E43" s="14">
        <v>395000000</v>
      </c>
      <c r="F43" s="41">
        <v>79158</v>
      </c>
      <c r="G43" s="41">
        <f>F43*18%</f>
        <v>14248.439999999999</v>
      </c>
      <c r="H43" s="41">
        <v>0</v>
      </c>
      <c r="I43" s="41">
        <f t="shared" si="3"/>
        <v>93406.44</v>
      </c>
      <c r="J43" s="41"/>
      <c r="K43" s="41"/>
      <c r="L43" s="41"/>
      <c r="M43" s="41"/>
      <c r="N43" s="16" t="s">
        <v>19</v>
      </c>
      <c r="O43" s="12" t="s">
        <v>37</v>
      </c>
      <c r="P43" s="42"/>
    </row>
    <row r="44" spans="2:16" ht="43.5" x14ac:dyDescent="0.35">
      <c r="B44" s="10">
        <v>16</v>
      </c>
      <c r="C44" s="23" t="s">
        <v>71</v>
      </c>
      <c r="D44" s="24"/>
      <c r="E44" s="14">
        <v>6325113</v>
      </c>
      <c r="F44" s="41">
        <v>1268</v>
      </c>
      <c r="G44" s="41">
        <f>F44*18%</f>
        <v>228.23999999999998</v>
      </c>
      <c r="H44" s="41">
        <v>0</v>
      </c>
      <c r="I44" s="41">
        <f t="shared" si="3"/>
        <v>1496.24</v>
      </c>
      <c r="J44" s="41"/>
      <c r="K44" s="41"/>
      <c r="L44" s="41"/>
      <c r="M44" s="41"/>
      <c r="N44" s="16" t="s">
        <v>19</v>
      </c>
      <c r="O44" s="12" t="s">
        <v>37</v>
      </c>
      <c r="P44" s="42"/>
    </row>
    <row r="45" spans="2:16" ht="17" x14ac:dyDescent="0.35">
      <c r="B45" s="25" t="s">
        <v>158</v>
      </c>
      <c r="C45" s="23"/>
      <c r="D45" s="24"/>
      <c r="E45" s="14"/>
      <c r="F45" s="30"/>
      <c r="G45" s="30"/>
      <c r="H45" s="30"/>
      <c r="I45" s="30"/>
      <c r="J45" s="30"/>
      <c r="K45" s="30"/>
      <c r="L45" s="30"/>
      <c r="M45" s="30"/>
      <c r="N45" s="16"/>
      <c r="O45" s="52"/>
      <c r="P45" s="42"/>
    </row>
    <row r="46" spans="2:16" ht="31" x14ac:dyDescent="0.35">
      <c r="B46" s="10">
        <v>1</v>
      </c>
      <c r="C46" s="23" t="s">
        <v>72</v>
      </c>
      <c r="D46" s="13" t="s">
        <v>74</v>
      </c>
      <c r="E46" s="27">
        <v>9600000</v>
      </c>
      <c r="F46" s="41">
        <v>2856</v>
      </c>
      <c r="G46" s="41">
        <f>F46*18/100</f>
        <v>514.08000000000004</v>
      </c>
      <c r="H46" s="44">
        <v>0</v>
      </c>
      <c r="I46" s="41">
        <f t="shared" si="3"/>
        <v>3370.08</v>
      </c>
      <c r="J46" s="41"/>
      <c r="K46" s="41"/>
      <c r="L46" s="41"/>
      <c r="M46" s="41"/>
      <c r="N46" s="16" t="s">
        <v>10</v>
      </c>
      <c r="O46" s="26" t="s">
        <v>73</v>
      </c>
      <c r="P46" s="42"/>
    </row>
    <row r="47" spans="2:16" ht="31" x14ac:dyDescent="0.35">
      <c r="B47" s="10">
        <v>2</v>
      </c>
      <c r="C47" s="11" t="s">
        <v>75</v>
      </c>
      <c r="D47" s="13" t="s">
        <v>76</v>
      </c>
      <c r="E47" s="27">
        <v>71700000</v>
      </c>
      <c r="F47" s="41">
        <v>15121</v>
      </c>
      <c r="G47" s="41">
        <f>F47*18/100</f>
        <v>2721.78</v>
      </c>
      <c r="H47" s="44">
        <v>0</v>
      </c>
      <c r="I47" s="41">
        <f t="shared" si="3"/>
        <v>17842.78</v>
      </c>
      <c r="J47" s="41"/>
      <c r="K47" s="41"/>
      <c r="L47" s="41"/>
      <c r="M47" s="41"/>
      <c r="N47" s="16" t="s">
        <v>10</v>
      </c>
      <c r="O47" s="26" t="s">
        <v>73</v>
      </c>
      <c r="P47" s="42"/>
    </row>
    <row r="48" spans="2:16" ht="31" x14ac:dyDescent="0.35">
      <c r="B48" s="10">
        <v>3</v>
      </c>
      <c r="C48" s="11" t="s">
        <v>77</v>
      </c>
      <c r="D48" s="13" t="s">
        <v>78</v>
      </c>
      <c r="E48" s="27">
        <v>7400000</v>
      </c>
      <c r="F48" s="41">
        <v>2220</v>
      </c>
      <c r="G48" s="41">
        <f>F48*18%</f>
        <v>399.59999999999997</v>
      </c>
      <c r="H48" s="41">
        <v>0</v>
      </c>
      <c r="I48" s="41">
        <f t="shared" si="3"/>
        <v>2619.6</v>
      </c>
      <c r="J48" s="41"/>
      <c r="K48" s="41"/>
      <c r="L48" s="41"/>
      <c r="M48" s="41"/>
      <c r="N48" s="16" t="s">
        <v>79</v>
      </c>
      <c r="O48" s="26" t="s">
        <v>73</v>
      </c>
      <c r="P48" s="42"/>
    </row>
    <row r="49" spans="2:16" ht="31" x14ac:dyDescent="0.35">
      <c r="B49" s="10">
        <v>4</v>
      </c>
      <c r="C49" s="23" t="s">
        <v>80</v>
      </c>
      <c r="D49" s="13" t="s">
        <v>81</v>
      </c>
      <c r="E49" s="27">
        <v>20600000</v>
      </c>
      <c r="F49" s="41">
        <v>5029</v>
      </c>
      <c r="G49" s="41">
        <f>F49*18/100</f>
        <v>905.22</v>
      </c>
      <c r="H49" s="44">
        <v>0</v>
      </c>
      <c r="I49" s="41">
        <f t="shared" si="3"/>
        <v>5934.22</v>
      </c>
      <c r="J49" s="41"/>
      <c r="K49" s="41"/>
      <c r="L49" s="41"/>
      <c r="M49" s="41"/>
      <c r="N49" s="16" t="s">
        <v>10</v>
      </c>
      <c r="O49" s="26" t="s">
        <v>73</v>
      </c>
      <c r="P49" s="42">
        <v>1</v>
      </c>
    </row>
    <row r="50" spans="2:16" ht="31" x14ac:dyDescent="0.35">
      <c r="B50" s="10">
        <v>5</v>
      </c>
      <c r="C50" s="23" t="s">
        <v>82</v>
      </c>
      <c r="D50" s="13" t="s">
        <v>83</v>
      </c>
      <c r="E50" s="27">
        <v>5200000</v>
      </c>
      <c r="F50" s="41">
        <v>1560</v>
      </c>
      <c r="G50" s="41">
        <f>F50*18%</f>
        <v>280.8</v>
      </c>
      <c r="H50" s="41">
        <v>0</v>
      </c>
      <c r="I50" s="41">
        <f t="shared" si="3"/>
        <v>1840.8</v>
      </c>
      <c r="J50" s="41"/>
      <c r="K50" s="41"/>
      <c r="L50" s="41"/>
      <c r="M50" s="41"/>
      <c r="N50" s="16" t="s">
        <v>79</v>
      </c>
      <c r="O50" s="26" t="s">
        <v>73</v>
      </c>
      <c r="P50" s="47">
        <v>0.15</v>
      </c>
    </row>
    <row r="51" spans="2:16" ht="31" x14ac:dyDescent="0.35">
      <c r="B51" s="10">
        <v>6</v>
      </c>
      <c r="C51" s="23" t="s">
        <v>84</v>
      </c>
      <c r="D51" s="13" t="s">
        <v>85</v>
      </c>
      <c r="E51" s="27">
        <v>54900000</v>
      </c>
      <c r="F51" s="41">
        <v>11803</v>
      </c>
      <c r="G51" s="41">
        <f>F51*18/100</f>
        <v>2124.54</v>
      </c>
      <c r="H51" s="44">
        <v>0</v>
      </c>
      <c r="I51" s="41">
        <f t="shared" si="3"/>
        <v>13927.54</v>
      </c>
      <c r="J51" s="41"/>
      <c r="K51" s="41"/>
      <c r="L51" s="41"/>
      <c r="M51" s="41"/>
      <c r="N51" s="16" t="s">
        <v>10</v>
      </c>
      <c r="O51" s="26" t="s">
        <v>73</v>
      </c>
      <c r="P51" s="42">
        <v>16934</v>
      </c>
    </row>
    <row r="52" spans="2:16" ht="19.5" x14ac:dyDescent="0.35">
      <c r="B52" s="7" t="s">
        <v>86</v>
      </c>
      <c r="C52" s="23"/>
      <c r="D52" s="24"/>
      <c r="E52" s="14"/>
      <c r="F52" s="30"/>
      <c r="G52" s="30"/>
      <c r="H52" s="30"/>
      <c r="I52" s="30"/>
      <c r="J52" s="30"/>
      <c r="K52" s="30"/>
      <c r="L52" s="30"/>
      <c r="M52" s="30"/>
      <c r="N52" s="16"/>
      <c r="O52" s="52"/>
      <c r="P52" s="42"/>
    </row>
    <row r="53" spans="2:16" ht="29" x14ac:dyDescent="0.35">
      <c r="B53" s="10">
        <v>1</v>
      </c>
      <c r="C53" s="11" t="s">
        <v>87</v>
      </c>
      <c r="D53" s="13">
        <v>1</v>
      </c>
      <c r="E53" s="14">
        <v>17000000</v>
      </c>
      <c r="F53" s="45">
        <v>10263</v>
      </c>
      <c r="G53" s="46">
        <v>1847.34</v>
      </c>
      <c r="H53" s="45">
        <v>0</v>
      </c>
      <c r="I53" s="41">
        <f t="shared" si="3"/>
        <v>12110.34</v>
      </c>
      <c r="J53" s="41"/>
      <c r="K53" s="41"/>
      <c r="L53" s="41"/>
      <c r="M53" s="41"/>
      <c r="N53" s="16" t="s">
        <v>19</v>
      </c>
      <c r="O53" s="12" t="s">
        <v>88</v>
      </c>
      <c r="P53" s="42">
        <f>+P51*85/100</f>
        <v>14393.9</v>
      </c>
    </row>
    <row r="54" spans="2:16" ht="29" x14ac:dyDescent="0.35">
      <c r="B54" s="10">
        <v>2</v>
      </c>
      <c r="C54" s="11" t="s">
        <v>89</v>
      </c>
      <c r="D54" s="13">
        <v>1</v>
      </c>
      <c r="E54" s="14">
        <v>140000000</v>
      </c>
      <c r="F54" s="45">
        <v>67150</v>
      </c>
      <c r="G54" s="46">
        <v>12087</v>
      </c>
      <c r="H54" s="45">
        <v>0</v>
      </c>
      <c r="I54" s="41">
        <f t="shared" si="3"/>
        <v>79237</v>
      </c>
      <c r="J54" s="41"/>
      <c r="K54" s="41"/>
      <c r="L54" s="41"/>
      <c r="M54" s="41"/>
      <c r="N54" s="16" t="s">
        <v>19</v>
      </c>
      <c r="O54" s="52" t="s">
        <v>88</v>
      </c>
      <c r="P54" s="42"/>
    </row>
    <row r="55" spans="2:16" ht="29" x14ac:dyDescent="0.35">
      <c r="B55" s="10">
        <v>3</v>
      </c>
      <c r="C55" s="22" t="s">
        <v>90</v>
      </c>
      <c r="D55" s="13">
        <v>2</v>
      </c>
      <c r="E55" s="14">
        <v>5000000</v>
      </c>
      <c r="F55" s="45">
        <v>4185</v>
      </c>
      <c r="G55" s="46">
        <v>753.3</v>
      </c>
      <c r="H55" s="45">
        <v>0</v>
      </c>
      <c r="I55" s="41">
        <f t="shared" si="3"/>
        <v>4938.3</v>
      </c>
      <c r="J55" s="41"/>
      <c r="K55" s="41"/>
      <c r="L55" s="41"/>
      <c r="M55" s="41"/>
      <c r="N55" s="16" t="s">
        <v>10</v>
      </c>
      <c r="O55" s="12" t="s">
        <v>88</v>
      </c>
      <c r="P55" s="42"/>
    </row>
    <row r="56" spans="2:16" ht="31" x14ac:dyDescent="0.35">
      <c r="B56" s="10">
        <v>4</v>
      </c>
      <c r="C56" s="11" t="s">
        <v>91</v>
      </c>
      <c r="D56" s="13">
        <v>1</v>
      </c>
      <c r="E56" s="14">
        <v>23420938</v>
      </c>
      <c r="F56" s="45">
        <v>13232</v>
      </c>
      <c r="G56" s="46">
        <v>2381.7600000000002</v>
      </c>
      <c r="H56" s="46">
        <v>0</v>
      </c>
      <c r="I56" s="41">
        <f t="shared" si="3"/>
        <v>15613.76</v>
      </c>
      <c r="J56" s="41"/>
      <c r="K56" s="41"/>
      <c r="L56" s="41"/>
      <c r="M56" s="41"/>
      <c r="N56" s="16" t="s">
        <v>19</v>
      </c>
      <c r="O56" s="52" t="s">
        <v>88</v>
      </c>
      <c r="P56" s="42">
        <f>14394*0.15</f>
        <v>2159.1</v>
      </c>
    </row>
    <row r="57" spans="2:16" ht="31" x14ac:dyDescent="0.35">
      <c r="B57" s="10">
        <v>5</v>
      </c>
      <c r="C57" s="11" t="s">
        <v>92</v>
      </c>
      <c r="D57" s="13">
        <v>2</v>
      </c>
      <c r="E57" s="14">
        <v>1792124</v>
      </c>
      <c r="F57" s="45">
        <v>2180</v>
      </c>
      <c r="G57" s="46">
        <v>392.4</v>
      </c>
      <c r="H57" s="46">
        <v>0</v>
      </c>
      <c r="I57" s="41">
        <f t="shared" si="3"/>
        <v>2572.4</v>
      </c>
      <c r="J57" s="41"/>
      <c r="K57" s="41"/>
      <c r="L57" s="41"/>
      <c r="M57" s="41"/>
      <c r="N57" s="16" t="s">
        <v>10</v>
      </c>
      <c r="O57" s="12" t="s">
        <v>88</v>
      </c>
      <c r="P57" s="42">
        <f>+P56+14394</f>
        <v>16553.099999999999</v>
      </c>
    </row>
    <row r="58" spans="2:16" ht="31" x14ac:dyDescent="0.35">
      <c r="B58" s="10">
        <v>6</v>
      </c>
      <c r="C58" s="11" t="s">
        <v>93</v>
      </c>
      <c r="D58" s="13">
        <v>1</v>
      </c>
      <c r="E58" s="14">
        <v>1525078</v>
      </c>
      <c r="F58" s="45">
        <v>2013</v>
      </c>
      <c r="G58" s="46">
        <v>362.34</v>
      </c>
      <c r="H58" s="45">
        <v>0</v>
      </c>
      <c r="I58" s="41">
        <f t="shared" si="3"/>
        <v>2375.34</v>
      </c>
      <c r="J58" s="41"/>
      <c r="K58" s="41"/>
      <c r="L58" s="41"/>
      <c r="M58" s="41"/>
      <c r="N58" s="16" t="s">
        <v>10</v>
      </c>
      <c r="O58" s="12" t="s">
        <v>88</v>
      </c>
      <c r="P58" s="42"/>
    </row>
    <row r="59" spans="2:16" ht="29" x14ac:dyDescent="0.35">
      <c r="B59" s="10">
        <v>7</v>
      </c>
      <c r="C59" s="11" t="s">
        <v>94</v>
      </c>
      <c r="D59" s="13"/>
      <c r="E59" s="14">
        <v>176200000</v>
      </c>
      <c r="F59" s="45">
        <v>81493</v>
      </c>
      <c r="G59" s="46">
        <f t="shared" ref="G59:G66" si="4">F59*18/100</f>
        <v>14668.74</v>
      </c>
      <c r="H59" s="45">
        <v>0</v>
      </c>
      <c r="I59" s="41">
        <f t="shared" si="3"/>
        <v>96161.74</v>
      </c>
      <c r="J59" s="41"/>
      <c r="K59" s="41"/>
      <c r="L59" s="41"/>
      <c r="M59" s="41"/>
      <c r="N59" s="16" t="s">
        <v>19</v>
      </c>
      <c r="O59" s="52" t="s">
        <v>18</v>
      </c>
      <c r="P59" s="42" t="e">
        <f>+O59*0.15</f>
        <v>#VALUE!</v>
      </c>
    </row>
    <row r="60" spans="2:16" ht="29" x14ac:dyDescent="0.35">
      <c r="B60" s="10">
        <v>8</v>
      </c>
      <c r="C60" s="26" t="s">
        <v>95</v>
      </c>
      <c r="D60" s="24"/>
      <c r="E60" s="14">
        <v>23000000</v>
      </c>
      <c r="F60" s="45">
        <v>10638</v>
      </c>
      <c r="G60" s="46">
        <f t="shared" si="4"/>
        <v>1914.84</v>
      </c>
      <c r="H60" s="45">
        <v>0</v>
      </c>
      <c r="I60" s="41">
        <f t="shared" si="3"/>
        <v>12552.84</v>
      </c>
      <c r="J60" s="41"/>
      <c r="K60" s="41"/>
      <c r="L60" s="41"/>
      <c r="M60" s="41"/>
      <c r="N60" s="16" t="s">
        <v>19</v>
      </c>
      <c r="O60" s="52" t="s">
        <v>18</v>
      </c>
      <c r="P60" s="42"/>
    </row>
    <row r="61" spans="2:16" ht="29" x14ac:dyDescent="0.35">
      <c r="B61" s="10">
        <v>9</v>
      </c>
      <c r="C61" s="26" t="s">
        <v>96</v>
      </c>
      <c r="D61" s="24"/>
      <c r="E61" s="14">
        <v>1750000</v>
      </c>
      <c r="F61" s="45">
        <v>809</v>
      </c>
      <c r="G61" s="46">
        <f t="shared" si="4"/>
        <v>145.62</v>
      </c>
      <c r="H61" s="45">
        <v>0</v>
      </c>
      <c r="I61" s="41">
        <f t="shared" si="3"/>
        <v>954.62</v>
      </c>
      <c r="J61" s="41"/>
      <c r="K61" s="41"/>
      <c r="L61" s="41"/>
      <c r="M61" s="41"/>
      <c r="N61" s="16" t="s">
        <v>19</v>
      </c>
      <c r="O61" s="52" t="s">
        <v>18</v>
      </c>
      <c r="P61" s="42">
        <f>115*0.130434782608696</f>
        <v>15.000000000000041</v>
      </c>
    </row>
    <row r="62" spans="2:16" ht="29" x14ac:dyDescent="0.35">
      <c r="B62" s="10">
        <v>10</v>
      </c>
      <c r="C62" s="26" t="s">
        <v>97</v>
      </c>
      <c r="D62" s="24"/>
      <c r="E62" s="14">
        <v>2555000</v>
      </c>
      <c r="F62" s="45">
        <v>1182</v>
      </c>
      <c r="G62" s="46">
        <f t="shared" si="4"/>
        <v>212.76</v>
      </c>
      <c r="H62" s="45">
        <v>0</v>
      </c>
      <c r="I62" s="41">
        <f t="shared" si="3"/>
        <v>1394.76</v>
      </c>
      <c r="J62" s="41"/>
      <c r="K62" s="41"/>
      <c r="L62" s="41"/>
      <c r="M62" s="41"/>
      <c r="N62" s="16" t="s">
        <v>19</v>
      </c>
      <c r="O62" s="52" t="s">
        <v>18</v>
      </c>
      <c r="P62" s="42"/>
    </row>
    <row r="63" spans="2:16" ht="29" x14ac:dyDescent="0.35">
      <c r="B63" s="10">
        <v>11</v>
      </c>
      <c r="C63" s="26" t="s">
        <v>98</v>
      </c>
      <c r="D63" s="24"/>
      <c r="E63" s="14">
        <v>3000000</v>
      </c>
      <c r="F63" s="41">
        <v>1388</v>
      </c>
      <c r="G63" s="41">
        <f t="shared" si="4"/>
        <v>249.84</v>
      </c>
      <c r="H63" s="44">
        <v>0</v>
      </c>
      <c r="I63" s="41">
        <f t="shared" si="3"/>
        <v>1637.84</v>
      </c>
      <c r="J63" s="41"/>
      <c r="K63" s="41"/>
      <c r="L63" s="41"/>
      <c r="M63" s="41"/>
      <c r="N63" s="16" t="s">
        <v>19</v>
      </c>
      <c r="O63" s="52" t="s">
        <v>18</v>
      </c>
      <c r="P63" s="42">
        <f>115*0.869565217391304</f>
        <v>99.999999999999957</v>
      </c>
    </row>
    <row r="64" spans="2:16" ht="29" x14ac:dyDescent="0.35">
      <c r="B64" s="10">
        <v>12</v>
      </c>
      <c r="C64" s="26" t="s">
        <v>99</v>
      </c>
      <c r="D64" s="24"/>
      <c r="E64" s="14">
        <v>40000000</v>
      </c>
      <c r="F64" s="41">
        <v>18500</v>
      </c>
      <c r="G64" s="41">
        <f t="shared" si="4"/>
        <v>3330</v>
      </c>
      <c r="H64" s="44">
        <v>0</v>
      </c>
      <c r="I64" s="41">
        <f t="shared" si="3"/>
        <v>21830</v>
      </c>
      <c r="J64" s="41"/>
      <c r="K64" s="41"/>
      <c r="L64" s="41"/>
      <c r="M64" s="41"/>
      <c r="N64" s="16" t="s">
        <v>19</v>
      </c>
      <c r="O64" s="52" t="s">
        <v>18</v>
      </c>
      <c r="P64" s="42"/>
    </row>
    <row r="65" spans="2:16" ht="29" x14ac:dyDescent="0.35">
      <c r="B65" s="10">
        <v>13</v>
      </c>
      <c r="C65" s="26" t="s">
        <v>100</v>
      </c>
      <c r="D65" s="24"/>
      <c r="E65" s="14">
        <v>12000000</v>
      </c>
      <c r="F65" s="41">
        <v>5550</v>
      </c>
      <c r="G65" s="41">
        <f t="shared" si="4"/>
        <v>999</v>
      </c>
      <c r="H65" s="44">
        <v>0</v>
      </c>
      <c r="I65" s="41">
        <f t="shared" si="3"/>
        <v>6549</v>
      </c>
      <c r="J65" s="41"/>
      <c r="K65" s="41"/>
      <c r="L65" s="41"/>
      <c r="M65" s="41"/>
      <c r="N65" s="16" t="s">
        <v>19</v>
      </c>
      <c r="O65" s="52" t="s">
        <v>18</v>
      </c>
      <c r="P65" s="42"/>
    </row>
    <row r="66" spans="2:16" ht="29" x14ac:dyDescent="0.35">
      <c r="B66" s="10">
        <v>14</v>
      </c>
      <c r="C66" s="26" t="s">
        <v>101</v>
      </c>
      <c r="D66" s="24"/>
      <c r="E66" s="14">
        <v>2500000</v>
      </c>
      <c r="F66" s="41">
        <v>1156</v>
      </c>
      <c r="G66" s="41">
        <f t="shared" si="4"/>
        <v>208.08</v>
      </c>
      <c r="H66" s="44">
        <v>0</v>
      </c>
      <c r="I66" s="41">
        <f t="shared" si="3"/>
        <v>1364.08</v>
      </c>
      <c r="J66" s="41"/>
      <c r="K66" s="41"/>
      <c r="L66" s="41"/>
      <c r="M66" s="41"/>
      <c r="N66" s="16" t="s">
        <v>19</v>
      </c>
      <c r="O66" s="52" t="s">
        <v>18</v>
      </c>
      <c r="P66" s="42"/>
    </row>
    <row r="67" spans="2:16" ht="15.5" x14ac:dyDescent="0.35">
      <c r="B67" s="10">
        <v>15</v>
      </c>
      <c r="C67" s="16" t="s">
        <v>102</v>
      </c>
      <c r="D67" s="10"/>
      <c r="E67" s="14">
        <v>170000000</v>
      </c>
      <c r="F67" s="41">
        <v>78625</v>
      </c>
      <c r="G67" s="41">
        <f>F67*18%</f>
        <v>14152.5</v>
      </c>
      <c r="H67" s="41">
        <v>0</v>
      </c>
      <c r="I67" s="41">
        <f t="shared" si="3"/>
        <v>92777.5</v>
      </c>
      <c r="J67" s="41"/>
      <c r="K67" s="41"/>
      <c r="L67" s="41"/>
      <c r="M67" s="41"/>
      <c r="N67" s="16" t="s">
        <v>19</v>
      </c>
      <c r="O67" s="52" t="s">
        <v>103</v>
      </c>
      <c r="P67" s="42"/>
    </row>
    <row r="68" spans="2:16" ht="19.5" x14ac:dyDescent="0.35">
      <c r="B68" s="7" t="s">
        <v>104</v>
      </c>
      <c r="C68" s="43"/>
      <c r="D68" s="24"/>
      <c r="E68" s="14"/>
      <c r="F68" s="30"/>
      <c r="G68" s="30"/>
      <c r="H68" s="30"/>
      <c r="I68" s="41"/>
      <c r="J68" s="41"/>
      <c r="K68" s="41"/>
      <c r="L68" s="41"/>
      <c r="M68" s="41"/>
      <c r="N68" s="16"/>
      <c r="O68" s="52"/>
      <c r="P68" s="42"/>
    </row>
    <row r="69" spans="2:16" ht="15.5" x14ac:dyDescent="0.35">
      <c r="B69" s="20" t="s">
        <v>105</v>
      </c>
      <c r="C69" s="26"/>
      <c r="D69" s="24"/>
      <c r="E69" s="14"/>
      <c r="F69" s="30"/>
      <c r="G69" s="30"/>
      <c r="H69" s="30"/>
      <c r="I69" s="41"/>
      <c r="J69" s="41"/>
      <c r="K69" s="41"/>
      <c r="L69" s="41"/>
      <c r="M69" s="41"/>
      <c r="N69" s="16"/>
      <c r="O69" s="52"/>
      <c r="P69" s="42"/>
    </row>
    <row r="70" spans="2:16" ht="15.5" x14ac:dyDescent="0.35">
      <c r="B70" s="10">
        <v>1</v>
      </c>
      <c r="C70" s="11" t="s">
        <v>106</v>
      </c>
      <c r="D70" s="13">
        <v>3</v>
      </c>
      <c r="E70" s="14">
        <f>977800+1955600</f>
        <v>2933400</v>
      </c>
      <c r="F70" s="41">
        <v>11147</v>
      </c>
      <c r="G70" s="41">
        <f t="shared" ref="G70:G82" si="5">F70*18%</f>
        <v>2006.46</v>
      </c>
      <c r="H70" s="44">
        <v>0</v>
      </c>
      <c r="I70" s="41">
        <f t="shared" si="3"/>
        <v>13153.46</v>
      </c>
      <c r="J70" s="41"/>
      <c r="K70" s="41"/>
      <c r="L70" s="41"/>
      <c r="M70" s="41">
        <f>J70+K70+L70</f>
        <v>0</v>
      </c>
      <c r="N70" s="16" t="s">
        <v>44</v>
      </c>
      <c r="O70" s="12" t="s">
        <v>107</v>
      </c>
      <c r="P70" s="42"/>
    </row>
    <row r="71" spans="2:16" ht="31" x14ac:dyDescent="0.35">
      <c r="B71" s="10">
        <v>2</v>
      </c>
      <c r="C71" s="11" t="s">
        <v>108</v>
      </c>
      <c r="D71" s="13">
        <v>1</v>
      </c>
      <c r="E71" s="14">
        <v>615000</v>
      </c>
      <c r="F71" s="41">
        <v>3075</v>
      </c>
      <c r="G71" s="41">
        <f t="shared" si="5"/>
        <v>553.5</v>
      </c>
      <c r="H71" s="41">
        <v>0</v>
      </c>
      <c r="I71" s="41">
        <f t="shared" si="3"/>
        <v>3628.5</v>
      </c>
      <c r="J71" s="41"/>
      <c r="K71" s="41"/>
      <c r="L71" s="41"/>
      <c r="M71" s="41"/>
      <c r="N71" s="16" t="s">
        <v>79</v>
      </c>
      <c r="O71" s="12" t="s">
        <v>107</v>
      </c>
      <c r="P71" s="42"/>
    </row>
    <row r="72" spans="2:16" ht="15.5" x14ac:dyDescent="0.35">
      <c r="B72" s="10">
        <v>3</v>
      </c>
      <c r="C72" s="11" t="s">
        <v>109</v>
      </c>
      <c r="D72" s="13">
        <v>1</v>
      </c>
      <c r="E72" s="14">
        <v>626000</v>
      </c>
      <c r="F72" s="41">
        <v>3130</v>
      </c>
      <c r="G72" s="41">
        <f t="shared" si="5"/>
        <v>563.4</v>
      </c>
      <c r="H72" s="41">
        <v>0</v>
      </c>
      <c r="I72" s="41">
        <f t="shared" si="3"/>
        <v>3693.4</v>
      </c>
      <c r="J72" s="41"/>
      <c r="K72" s="41"/>
      <c r="L72" s="41"/>
      <c r="M72" s="41"/>
      <c r="N72" s="16" t="s">
        <v>79</v>
      </c>
      <c r="O72" s="12" t="s">
        <v>107</v>
      </c>
      <c r="P72" s="42"/>
    </row>
    <row r="73" spans="2:16" ht="15.5" x14ac:dyDescent="0.35">
      <c r="B73" s="10">
        <v>4</v>
      </c>
      <c r="C73" s="11" t="s">
        <v>110</v>
      </c>
      <c r="D73" s="13">
        <v>1</v>
      </c>
      <c r="E73" s="14">
        <v>1080542</v>
      </c>
      <c r="F73" s="41">
        <v>5403</v>
      </c>
      <c r="G73" s="41">
        <f t="shared" si="5"/>
        <v>972.54</v>
      </c>
      <c r="H73" s="41">
        <v>0</v>
      </c>
      <c r="I73" s="41">
        <f t="shared" si="3"/>
        <v>6375.54</v>
      </c>
      <c r="J73" s="41"/>
      <c r="K73" s="41"/>
      <c r="L73" s="41"/>
      <c r="M73" s="41"/>
      <c r="N73" s="16" t="s">
        <v>79</v>
      </c>
      <c r="O73" s="12" t="s">
        <v>107</v>
      </c>
      <c r="P73" s="42"/>
    </row>
    <row r="74" spans="2:16" ht="15.5" x14ac:dyDescent="0.35">
      <c r="B74" s="10">
        <v>5</v>
      </c>
      <c r="C74" s="11" t="s">
        <v>111</v>
      </c>
      <c r="D74" s="13">
        <v>4</v>
      </c>
      <c r="E74" s="14">
        <f>930000+2790000</f>
        <v>3720000</v>
      </c>
      <c r="F74" s="41">
        <v>10602</v>
      </c>
      <c r="G74" s="41">
        <f t="shared" si="5"/>
        <v>1908.36</v>
      </c>
      <c r="H74" s="44">
        <v>0</v>
      </c>
      <c r="I74" s="41">
        <f t="shared" si="3"/>
        <v>12510.36</v>
      </c>
      <c r="J74" s="41"/>
      <c r="K74" s="41"/>
      <c r="L74" s="41"/>
      <c r="M74" s="41">
        <f>J74+K74+L74</f>
        <v>0</v>
      </c>
      <c r="N74" s="16" t="s">
        <v>44</v>
      </c>
      <c r="O74" s="12" t="s">
        <v>107</v>
      </c>
      <c r="P74" s="42"/>
    </row>
    <row r="75" spans="2:16" ht="31" x14ac:dyDescent="0.35">
      <c r="B75" s="10">
        <v>6</v>
      </c>
      <c r="C75" s="11" t="s">
        <v>112</v>
      </c>
      <c r="D75" s="13">
        <v>1</v>
      </c>
      <c r="E75" s="14">
        <v>1862000</v>
      </c>
      <c r="F75" s="41">
        <v>9310</v>
      </c>
      <c r="G75" s="41">
        <f t="shared" si="5"/>
        <v>1675.8</v>
      </c>
      <c r="H75" s="41">
        <v>0</v>
      </c>
      <c r="I75" s="41">
        <f t="shared" si="3"/>
        <v>10985.8</v>
      </c>
      <c r="J75" s="41"/>
      <c r="K75" s="41"/>
      <c r="L75" s="41"/>
      <c r="M75" s="41"/>
      <c r="N75" s="16" t="s">
        <v>79</v>
      </c>
      <c r="O75" s="12" t="s">
        <v>107</v>
      </c>
      <c r="P75" s="42"/>
    </row>
    <row r="76" spans="2:16" ht="15.5" x14ac:dyDescent="0.35">
      <c r="B76" s="10">
        <v>7</v>
      </c>
      <c r="C76" s="26" t="s">
        <v>113</v>
      </c>
      <c r="D76" s="24">
        <v>1</v>
      </c>
      <c r="E76" s="14">
        <v>652000</v>
      </c>
      <c r="F76" s="41">
        <v>3260</v>
      </c>
      <c r="G76" s="41">
        <f t="shared" si="5"/>
        <v>586.79999999999995</v>
      </c>
      <c r="H76" s="41">
        <v>0</v>
      </c>
      <c r="I76" s="41">
        <f t="shared" si="3"/>
        <v>3846.8</v>
      </c>
      <c r="J76" s="41"/>
      <c r="K76" s="41"/>
      <c r="L76" s="41"/>
      <c r="M76" s="41"/>
      <c r="N76" s="16" t="s">
        <v>79</v>
      </c>
      <c r="O76" s="12" t="s">
        <v>107</v>
      </c>
      <c r="P76" s="42"/>
    </row>
    <row r="77" spans="2:16" ht="15.5" x14ac:dyDescent="0.35">
      <c r="B77" s="10">
        <v>8</v>
      </c>
      <c r="C77" s="28" t="s">
        <v>114</v>
      </c>
      <c r="D77" s="10">
        <v>2</v>
      </c>
      <c r="E77" s="19">
        <v>255000</v>
      </c>
      <c r="F77" s="41">
        <v>1275</v>
      </c>
      <c r="G77" s="41">
        <f t="shared" si="5"/>
        <v>229.5</v>
      </c>
      <c r="H77" s="41">
        <v>0</v>
      </c>
      <c r="I77" s="41">
        <f t="shared" si="3"/>
        <v>1504.5</v>
      </c>
      <c r="J77" s="41"/>
      <c r="K77" s="41"/>
      <c r="L77" s="41"/>
      <c r="M77" s="41"/>
      <c r="N77" s="16" t="s">
        <v>79</v>
      </c>
      <c r="O77" s="12" t="s">
        <v>107</v>
      </c>
      <c r="P77" s="42"/>
    </row>
    <row r="78" spans="2:16" ht="15.5" x14ac:dyDescent="0.35">
      <c r="B78" s="10">
        <v>9</v>
      </c>
      <c r="C78" s="26" t="s">
        <v>115</v>
      </c>
      <c r="D78" s="24">
        <v>1</v>
      </c>
      <c r="E78" s="14">
        <v>500000</v>
      </c>
      <c r="F78" s="41">
        <v>2500</v>
      </c>
      <c r="G78" s="41">
        <f t="shared" si="5"/>
        <v>450</v>
      </c>
      <c r="H78" s="41">
        <v>0</v>
      </c>
      <c r="I78" s="41">
        <f t="shared" si="3"/>
        <v>2950</v>
      </c>
      <c r="J78" s="41"/>
      <c r="K78" s="41"/>
      <c r="L78" s="41"/>
      <c r="M78" s="41"/>
      <c r="N78" s="16" t="s">
        <v>79</v>
      </c>
      <c r="O78" s="12" t="s">
        <v>107</v>
      </c>
      <c r="P78" s="42"/>
    </row>
    <row r="79" spans="2:16" ht="15.5" x14ac:dyDescent="0.35">
      <c r="B79" s="10">
        <v>10</v>
      </c>
      <c r="C79" s="26" t="s">
        <v>116</v>
      </c>
      <c r="D79" s="24">
        <v>1</v>
      </c>
      <c r="E79" s="14">
        <v>175000</v>
      </c>
      <c r="F79" s="41">
        <v>875</v>
      </c>
      <c r="G79" s="41">
        <f t="shared" si="5"/>
        <v>157.5</v>
      </c>
      <c r="H79" s="41">
        <v>0</v>
      </c>
      <c r="I79" s="41">
        <f t="shared" si="3"/>
        <v>1032.5</v>
      </c>
      <c r="J79" s="41"/>
      <c r="K79" s="41"/>
      <c r="L79" s="41"/>
      <c r="M79" s="41"/>
      <c r="N79" s="16" t="s">
        <v>79</v>
      </c>
      <c r="O79" s="12" t="s">
        <v>107</v>
      </c>
      <c r="P79" s="42"/>
    </row>
    <row r="80" spans="2:16" ht="15.5" x14ac:dyDescent="0.35">
      <c r="B80" s="10">
        <v>11</v>
      </c>
      <c r="C80" s="26" t="s">
        <v>117</v>
      </c>
      <c r="D80" s="24">
        <v>1</v>
      </c>
      <c r="E80" s="14">
        <v>461000</v>
      </c>
      <c r="F80" s="41">
        <v>2305</v>
      </c>
      <c r="G80" s="41">
        <f t="shared" si="5"/>
        <v>414.9</v>
      </c>
      <c r="H80" s="41">
        <v>0</v>
      </c>
      <c r="I80" s="41">
        <f t="shared" si="3"/>
        <v>2719.9</v>
      </c>
      <c r="J80" s="41"/>
      <c r="K80" s="41"/>
      <c r="L80" s="41"/>
      <c r="M80" s="41"/>
      <c r="N80" s="16" t="s">
        <v>79</v>
      </c>
      <c r="O80" s="12" t="s">
        <v>107</v>
      </c>
      <c r="P80" s="42"/>
    </row>
    <row r="81" spans="2:16" ht="15.5" x14ac:dyDescent="0.35">
      <c r="B81" s="10">
        <v>12</v>
      </c>
      <c r="C81" s="26" t="s">
        <v>118</v>
      </c>
      <c r="D81" s="24">
        <v>1</v>
      </c>
      <c r="E81" s="14">
        <v>1450000</v>
      </c>
      <c r="F81" s="41">
        <v>7250</v>
      </c>
      <c r="G81" s="41">
        <f t="shared" si="5"/>
        <v>1305</v>
      </c>
      <c r="H81" s="41">
        <v>0</v>
      </c>
      <c r="I81" s="41">
        <f t="shared" si="3"/>
        <v>8555</v>
      </c>
      <c r="J81" s="41"/>
      <c r="K81" s="41"/>
      <c r="L81" s="41"/>
      <c r="M81" s="41"/>
      <c r="N81" s="16" t="s">
        <v>79</v>
      </c>
      <c r="O81" s="12" t="s">
        <v>107</v>
      </c>
      <c r="P81" s="42"/>
    </row>
    <row r="82" spans="2:16" ht="15.5" x14ac:dyDescent="0.35">
      <c r="B82" s="10">
        <v>13</v>
      </c>
      <c r="C82" s="26" t="s">
        <v>119</v>
      </c>
      <c r="D82" s="24">
        <v>1</v>
      </c>
      <c r="E82" s="14">
        <v>293810</v>
      </c>
      <c r="F82" s="41">
        <v>1469</v>
      </c>
      <c r="G82" s="41">
        <f t="shared" si="5"/>
        <v>264.42</v>
      </c>
      <c r="H82" s="41">
        <v>0</v>
      </c>
      <c r="I82" s="41">
        <f t="shared" si="3"/>
        <v>1733.42</v>
      </c>
      <c r="J82" s="41"/>
      <c r="K82" s="41"/>
      <c r="L82" s="41"/>
      <c r="M82" s="41"/>
      <c r="N82" s="16" t="s">
        <v>79</v>
      </c>
      <c r="O82" s="12" t="s">
        <v>107</v>
      </c>
      <c r="P82" s="42"/>
    </row>
    <row r="83" spans="2:16" ht="15.5" x14ac:dyDescent="0.35">
      <c r="B83" s="20" t="s">
        <v>120</v>
      </c>
      <c r="C83" s="26"/>
      <c r="D83" s="24"/>
      <c r="E83" s="14"/>
      <c r="F83" s="30"/>
      <c r="G83" s="30"/>
      <c r="H83" s="30"/>
      <c r="I83" s="41"/>
      <c r="J83" s="41"/>
      <c r="K83" s="41"/>
      <c r="L83" s="41"/>
      <c r="M83" s="41"/>
      <c r="N83" s="16"/>
      <c r="O83" s="52"/>
      <c r="P83" s="42"/>
    </row>
    <row r="84" spans="2:16" ht="15.5" x14ac:dyDescent="0.35">
      <c r="B84" s="10">
        <v>14</v>
      </c>
      <c r="C84" s="26" t="s">
        <v>121</v>
      </c>
      <c r="D84" s="24">
        <v>1</v>
      </c>
      <c r="E84" s="14">
        <v>50000</v>
      </c>
      <c r="F84" s="41">
        <v>250</v>
      </c>
      <c r="G84" s="41">
        <f t="shared" ref="G84:G91" si="6">F84*18%</f>
        <v>45</v>
      </c>
      <c r="H84" s="41">
        <v>0</v>
      </c>
      <c r="I84" s="41">
        <f t="shared" si="3"/>
        <v>295</v>
      </c>
      <c r="J84" s="41"/>
      <c r="K84" s="41"/>
      <c r="L84" s="41"/>
      <c r="M84" s="41"/>
      <c r="N84" s="16" t="s">
        <v>79</v>
      </c>
      <c r="O84" s="12" t="s">
        <v>107</v>
      </c>
      <c r="P84" s="42"/>
    </row>
    <row r="85" spans="2:16" ht="15.5" x14ac:dyDescent="0.35">
      <c r="B85" s="10">
        <v>15</v>
      </c>
      <c r="C85" s="26" t="s">
        <v>122</v>
      </c>
      <c r="D85" s="24">
        <v>2</v>
      </c>
      <c r="E85" s="14">
        <v>60000</v>
      </c>
      <c r="F85" s="41">
        <v>300</v>
      </c>
      <c r="G85" s="41">
        <f t="shared" si="6"/>
        <v>54</v>
      </c>
      <c r="H85" s="41">
        <v>0</v>
      </c>
      <c r="I85" s="41">
        <f t="shared" si="3"/>
        <v>354</v>
      </c>
      <c r="J85" s="41"/>
      <c r="K85" s="41"/>
      <c r="L85" s="41"/>
      <c r="M85" s="41"/>
      <c r="N85" s="16" t="s">
        <v>79</v>
      </c>
      <c r="O85" s="12" t="s">
        <v>107</v>
      </c>
      <c r="P85" s="42"/>
    </row>
    <row r="86" spans="2:16" ht="15.5" x14ac:dyDescent="0.35">
      <c r="B86" s="10">
        <v>16</v>
      </c>
      <c r="C86" s="26" t="s">
        <v>123</v>
      </c>
      <c r="D86" s="24">
        <v>1</v>
      </c>
      <c r="E86" s="14">
        <v>584000</v>
      </c>
      <c r="F86" s="41">
        <v>2920</v>
      </c>
      <c r="G86" s="41">
        <f t="shared" si="6"/>
        <v>525.6</v>
      </c>
      <c r="H86" s="41">
        <v>0</v>
      </c>
      <c r="I86" s="41">
        <f t="shared" si="3"/>
        <v>3445.6</v>
      </c>
      <c r="J86" s="41"/>
      <c r="K86" s="41"/>
      <c r="L86" s="41"/>
      <c r="M86" s="41"/>
      <c r="N86" s="16" t="s">
        <v>79</v>
      </c>
      <c r="O86" s="12" t="s">
        <v>107</v>
      </c>
      <c r="P86" s="42"/>
    </row>
    <row r="87" spans="2:16" ht="15.5" x14ac:dyDescent="0.35">
      <c r="B87" s="10">
        <v>17</v>
      </c>
      <c r="C87" s="26" t="s">
        <v>124</v>
      </c>
      <c r="D87" s="24">
        <v>2</v>
      </c>
      <c r="E87" s="14">
        <v>587000</v>
      </c>
      <c r="F87" s="41">
        <v>2935</v>
      </c>
      <c r="G87" s="41">
        <f t="shared" si="6"/>
        <v>528.29999999999995</v>
      </c>
      <c r="H87" s="41">
        <v>0</v>
      </c>
      <c r="I87" s="41">
        <f t="shared" si="3"/>
        <v>3463.3</v>
      </c>
      <c r="J87" s="41"/>
      <c r="K87" s="41"/>
      <c r="L87" s="41"/>
      <c r="M87" s="41"/>
      <c r="N87" s="16" t="s">
        <v>79</v>
      </c>
      <c r="O87" s="12" t="s">
        <v>107</v>
      </c>
      <c r="P87" s="42"/>
    </row>
    <row r="88" spans="2:16" ht="15.5" x14ac:dyDescent="0.35">
      <c r="B88" s="10">
        <v>18</v>
      </c>
      <c r="C88" s="26" t="s">
        <v>125</v>
      </c>
      <c r="D88" s="24">
        <v>1</v>
      </c>
      <c r="E88" s="14">
        <v>4835000</v>
      </c>
      <c r="F88" s="41">
        <v>24175</v>
      </c>
      <c r="G88" s="41">
        <f t="shared" si="6"/>
        <v>4351.5</v>
      </c>
      <c r="H88" s="41">
        <v>0</v>
      </c>
      <c r="I88" s="41">
        <f t="shared" si="3"/>
        <v>28526.5</v>
      </c>
      <c r="J88" s="41"/>
      <c r="K88" s="41"/>
      <c r="L88" s="41"/>
      <c r="M88" s="41"/>
      <c r="N88" s="16" t="s">
        <v>79</v>
      </c>
      <c r="O88" s="12" t="s">
        <v>107</v>
      </c>
      <c r="P88" s="42"/>
    </row>
    <row r="89" spans="2:16" ht="15.5" x14ac:dyDescent="0.35">
      <c r="B89" s="10">
        <v>19</v>
      </c>
      <c r="C89" s="26" t="s">
        <v>126</v>
      </c>
      <c r="D89" s="24">
        <v>1</v>
      </c>
      <c r="E89" s="14">
        <v>135000</v>
      </c>
      <c r="F89" s="41">
        <v>675</v>
      </c>
      <c r="G89" s="41">
        <f t="shared" si="6"/>
        <v>121.5</v>
      </c>
      <c r="H89" s="41">
        <v>0</v>
      </c>
      <c r="I89" s="41">
        <f t="shared" si="3"/>
        <v>796.5</v>
      </c>
      <c r="J89" s="41"/>
      <c r="K89" s="41"/>
      <c r="L89" s="41"/>
      <c r="M89" s="41"/>
      <c r="N89" s="16" t="s">
        <v>79</v>
      </c>
      <c r="O89" s="12" t="s">
        <v>107</v>
      </c>
      <c r="P89" s="42"/>
    </row>
    <row r="90" spans="2:16" ht="15.5" x14ac:dyDescent="0.35">
      <c r="B90" s="10">
        <v>20</v>
      </c>
      <c r="C90" s="26" t="s">
        <v>127</v>
      </c>
      <c r="D90" s="24">
        <v>4</v>
      </c>
      <c r="E90" s="14">
        <v>3339000</v>
      </c>
      <c r="F90" s="41">
        <v>16695</v>
      </c>
      <c r="G90" s="41">
        <f t="shared" si="6"/>
        <v>3005.1</v>
      </c>
      <c r="H90" s="41">
        <v>0</v>
      </c>
      <c r="I90" s="41">
        <f t="shared" si="3"/>
        <v>19700.099999999999</v>
      </c>
      <c r="J90" s="41"/>
      <c r="K90" s="41"/>
      <c r="L90" s="41"/>
      <c r="M90" s="41"/>
      <c r="N90" s="16" t="s">
        <v>79</v>
      </c>
      <c r="O90" s="12" t="s">
        <v>107</v>
      </c>
      <c r="P90" s="42"/>
    </row>
    <row r="91" spans="2:16" ht="15.5" x14ac:dyDescent="0.35">
      <c r="B91" s="10">
        <v>21</v>
      </c>
      <c r="C91" s="23" t="s">
        <v>128</v>
      </c>
      <c r="D91" s="24">
        <v>1</v>
      </c>
      <c r="E91" s="14">
        <v>470000</v>
      </c>
      <c r="F91" s="41">
        <v>2350</v>
      </c>
      <c r="G91" s="41">
        <f t="shared" si="6"/>
        <v>423</v>
      </c>
      <c r="H91" s="41">
        <v>0</v>
      </c>
      <c r="I91" s="41">
        <f t="shared" si="3"/>
        <v>2773</v>
      </c>
      <c r="J91" s="41"/>
      <c r="K91" s="41"/>
      <c r="L91" s="41"/>
      <c r="M91" s="41"/>
      <c r="N91" s="16" t="s">
        <v>79</v>
      </c>
      <c r="O91" s="12" t="s">
        <v>107</v>
      </c>
      <c r="P91" s="42"/>
    </row>
    <row r="92" spans="2:16" ht="15.5" x14ac:dyDescent="0.35">
      <c r="B92" s="20" t="s">
        <v>129</v>
      </c>
      <c r="C92" s="23"/>
      <c r="D92" s="24"/>
      <c r="E92" s="14"/>
      <c r="F92" s="30"/>
      <c r="G92" s="30"/>
      <c r="H92" s="30"/>
      <c r="I92" s="41"/>
      <c r="J92" s="41"/>
      <c r="K92" s="41"/>
      <c r="L92" s="41"/>
      <c r="M92" s="41"/>
      <c r="N92" s="16"/>
      <c r="O92" s="52"/>
      <c r="P92" s="42"/>
    </row>
    <row r="93" spans="2:16" ht="15.5" x14ac:dyDescent="0.35">
      <c r="B93" s="10">
        <v>22</v>
      </c>
      <c r="C93" s="26" t="s">
        <v>130</v>
      </c>
      <c r="D93" s="24">
        <v>33</v>
      </c>
      <c r="E93" s="14">
        <f>1178000+76000</f>
        <v>1254000</v>
      </c>
      <c r="F93" s="41">
        <v>6270</v>
      </c>
      <c r="G93" s="41">
        <f>F93*18%</f>
        <v>1128.5999999999999</v>
      </c>
      <c r="H93" s="41">
        <v>0</v>
      </c>
      <c r="I93" s="41">
        <f t="shared" si="3"/>
        <v>7398.6</v>
      </c>
      <c r="J93" s="41"/>
      <c r="K93" s="41"/>
      <c r="L93" s="41"/>
      <c r="M93" s="41"/>
      <c r="N93" s="16" t="s">
        <v>79</v>
      </c>
      <c r="O93" s="12" t="s">
        <v>107</v>
      </c>
      <c r="P93" s="42"/>
    </row>
    <row r="94" spans="2:16" ht="29" x14ac:dyDescent="0.35">
      <c r="B94" s="10">
        <v>23</v>
      </c>
      <c r="C94" s="26" t="s">
        <v>131</v>
      </c>
      <c r="D94" s="24">
        <v>8</v>
      </c>
      <c r="E94" s="14">
        <f>246000+82000</f>
        <v>328000</v>
      </c>
      <c r="F94" s="41">
        <v>1640</v>
      </c>
      <c r="G94" s="41">
        <f>F94*18%</f>
        <v>295.2</v>
      </c>
      <c r="H94" s="41">
        <v>0</v>
      </c>
      <c r="I94" s="41">
        <f t="shared" si="3"/>
        <v>1935.2</v>
      </c>
      <c r="J94" s="41"/>
      <c r="K94" s="41"/>
      <c r="L94" s="41"/>
      <c r="M94" s="41"/>
      <c r="N94" s="16" t="s">
        <v>79</v>
      </c>
      <c r="O94" s="12" t="s">
        <v>107</v>
      </c>
      <c r="P94" s="42"/>
    </row>
    <row r="95" spans="2:16" ht="29" x14ac:dyDescent="0.35">
      <c r="B95" s="10">
        <v>24</v>
      </c>
      <c r="C95" s="23" t="s">
        <v>132</v>
      </c>
      <c r="D95" s="24">
        <v>1</v>
      </c>
      <c r="E95" s="14">
        <v>30000</v>
      </c>
      <c r="F95" s="41">
        <v>150</v>
      </c>
      <c r="G95" s="41">
        <f>F95*18%</f>
        <v>27</v>
      </c>
      <c r="H95" s="41">
        <v>0</v>
      </c>
      <c r="I95" s="41">
        <f t="shared" si="3"/>
        <v>177</v>
      </c>
      <c r="J95" s="41"/>
      <c r="K95" s="41"/>
      <c r="L95" s="41"/>
      <c r="M95" s="41"/>
      <c r="N95" s="16" t="s">
        <v>79</v>
      </c>
      <c r="O95" s="12" t="s">
        <v>107</v>
      </c>
      <c r="P95" s="42"/>
    </row>
    <row r="96" spans="2:16" ht="15.5" x14ac:dyDescent="0.35">
      <c r="B96" s="20" t="s">
        <v>133</v>
      </c>
      <c r="C96" s="23"/>
      <c r="D96" s="24"/>
      <c r="E96" s="14"/>
      <c r="F96" s="30"/>
      <c r="G96" s="30"/>
      <c r="H96" s="30"/>
      <c r="I96" s="41"/>
      <c r="J96" s="41"/>
      <c r="K96" s="41"/>
      <c r="L96" s="41"/>
      <c r="M96" s="41"/>
      <c r="N96" s="16"/>
      <c r="O96" s="52"/>
      <c r="P96" s="42"/>
    </row>
    <row r="97" spans="2:16" ht="18" customHeight="1" x14ac:dyDescent="0.35">
      <c r="B97" s="10">
        <v>25</v>
      </c>
      <c r="C97" s="28" t="s">
        <v>134</v>
      </c>
      <c r="D97" s="10">
        <v>1</v>
      </c>
      <c r="E97" s="19">
        <v>527000</v>
      </c>
      <c r="F97" s="41">
        <v>2635</v>
      </c>
      <c r="G97" s="41">
        <f>F97*18%</f>
        <v>474.29999999999995</v>
      </c>
      <c r="H97" s="41"/>
      <c r="I97" s="41">
        <f t="shared" si="3"/>
        <v>3109.3</v>
      </c>
      <c r="J97" s="41"/>
      <c r="K97" s="41"/>
      <c r="L97" s="41"/>
      <c r="M97" s="41"/>
      <c r="N97" s="16" t="s">
        <v>79</v>
      </c>
      <c r="O97" s="12" t="s">
        <v>107</v>
      </c>
      <c r="P97" s="42"/>
    </row>
    <row r="98" spans="2:16" ht="15.5" x14ac:dyDescent="0.35">
      <c r="B98" s="20" t="s">
        <v>135</v>
      </c>
      <c r="C98" s="28"/>
      <c r="D98" s="10"/>
      <c r="E98" s="19"/>
      <c r="F98" s="30"/>
      <c r="G98" s="30"/>
      <c r="H98" s="30"/>
      <c r="I98" s="41"/>
      <c r="J98" s="41"/>
      <c r="K98" s="41"/>
      <c r="L98" s="41"/>
      <c r="M98" s="41"/>
      <c r="N98" s="16"/>
      <c r="O98" s="52"/>
      <c r="P98" s="42"/>
    </row>
    <row r="99" spans="2:16" ht="18" customHeight="1" x14ac:dyDescent="0.35">
      <c r="B99" s="10">
        <v>26</v>
      </c>
      <c r="C99" s="26" t="s">
        <v>136</v>
      </c>
      <c r="D99" s="24">
        <v>2</v>
      </c>
      <c r="E99" s="14">
        <v>95000</v>
      </c>
      <c r="F99" s="41">
        <v>475</v>
      </c>
      <c r="G99" s="41">
        <f>F99*18%</f>
        <v>85.5</v>
      </c>
      <c r="H99" s="41">
        <v>0</v>
      </c>
      <c r="I99" s="41">
        <f t="shared" si="3"/>
        <v>560.5</v>
      </c>
      <c r="J99" s="41"/>
      <c r="K99" s="41"/>
      <c r="L99" s="41"/>
      <c r="M99" s="41"/>
      <c r="N99" s="16" t="s">
        <v>79</v>
      </c>
      <c r="O99" s="12" t="s">
        <v>107</v>
      </c>
      <c r="P99" s="42"/>
    </row>
    <row r="100" spans="2:16" ht="15.5" x14ac:dyDescent="0.35">
      <c r="B100" s="10">
        <v>27</v>
      </c>
      <c r="C100" s="26" t="s">
        <v>137</v>
      </c>
      <c r="D100" s="24">
        <v>3</v>
      </c>
      <c r="E100" s="19">
        <v>108000</v>
      </c>
      <c r="F100" s="41">
        <v>540</v>
      </c>
      <c r="G100" s="41">
        <f>F100*18%</f>
        <v>97.2</v>
      </c>
      <c r="H100" s="41">
        <v>0</v>
      </c>
      <c r="I100" s="41">
        <f t="shared" si="3"/>
        <v>637.20000000000005</v>
      </c>
      <c r="J100" s="41"/>
      <c r="K100" s="41"/>
      <c r="L100" s="41"/>
      <c r="M100" s="41"/>
      <c r="N100" s="16" t="s">
        <v>79</v>
      </c>
      <c r="O100" s="12" t="s">
        <v>107</v>
      </c>
      <c r="P100" s="42"/>
    </row>
    <row r="101" spans="2:16" ht="15.5" x14ac:dyDescent="0.35">
      <c r="B101" s="10">
        <v>28</v>
      </c>
      <c r="C101" s="23" t="s">
        <v>138</v>
      </c>
      <c r="D101" s="24">
        <v>1</v>
      </c>
      <c r="E101" s="14">
        <v>44800</v>
      </c>
      <c r="F101" s="41">
        <v>293</v>
      </c>
      <c r="G101" s="41">
        <f>F101*18/100</f>
        <v>52.74</v>
      </c>
      <c r="H101" s="44">
        <v>0</v>
      </c>
      <c r="I101" s="41">
        <f t="shared" ref="I101:I110" si="7">F101+G101+H101</f>
        <v>345.74</v>
      </c>
      <c r="J101" s="41"/>
      <c r="K101" s="41"/>
      <c r="L101" s="41"/>
      <c r="M101" s="41"/>
      <c r="N101" s="16" t="s">
        <v>19</v>
      </c>
      <c r="O101" s="52" t="s">
        <v>107</v>
      </c>
      <c r="P101" s="42"/>
    </row>
    <row r="102" spans="2:16" ht="15.5" x14ac:dyDescent="0.35">
      <c r="B102" s="10">
        <v>29</v>
      </c>
      <c r="C102" s="23" t="s">
        <v>139</v>
      </c>
      <c r="D102" s="24">
        <v>1</v>
      </c>
      <c r="E102" s="14">
        <v>70000</v>
      </c>
      <c r="F102" s="41">
        <v>350</v>
      </c>
      <c r="G102" s="41">
        <f>F102*18%</f>
        <v>63</v>
      </c>
      <c r="H102" s="41">
        <v>0</v>
      </c>
      <c r="I102" s="41">
        <f t="shared" si="7"/>
        <v>413</v>
      </c>
      <c r="J102" s="41"/>
      <c r="K102" s="41"/>
      <c r="L102" s="41"/>
      <c r="M102" s="41"/>
      <c r="N102" s="16" t="s">
        <v>79</v>
      </c>
      <c r="O102" s="12" t="s">
        <v>107</v>
      </c>
      <c r="P102" s="42"/>
    </row>
    <row r="103" spans="2:16" ht="15.5" x14ac:dyDescent="0.35">
      <c r="B103" s="10">
        <v>30</v>
      </c>
      <c r="C103" s="23" t="s">
        <v>140</v>
      </c>
      <c r="D103" s="24">
        <v>1</v>
      </c>
      <c r="E103" s="14">
        <v>41000</v>
      </c>
      <c r="F103" s="41">
        <v>205</v>
      </c>
      <c r="G103" s="41">
        <f>F103*18%</f>
        <v>36.9</v>
      </c>
      <c r="H103" s="41">
        <v>0</v>
      </c>
      <c r="I103" s="41">
        <f t="shared" si="7"/>
        <v>241.9</v>
      </c>
      <c r="J103" s="41"/>
      <c r="K103" s="41"/>
      <c r="L103" s="41"/>
      <c r="M103" s="41"/>
      <c r="N103" s="16" t="s">
        <v>79</v>
      </c>
      <c r="O103" s="12" t="s">
        <v>107</v>
      </c>
      <c r="P103" s="42"/>
    </row>
    <row r="104" spans="2:16" ht="17" x14ac:dyDescent="0.35">
      <c r="B104" s="25" t="s">
        <v>141</v>
      </c>
      <c r="C104" s="43"/>
      <c r="D104" s="24"/>
      <c r="E104" s="27"/>
      <c r="F104" s="30"/>
      <c r="G104" s="30"/>
      <c r="H104" s="30"/>
      <c r="I104" s="41"/>
      <c r="J104" s="41"/>
      <c r="K104" s="41"/>
      <c r="L104" s="41"/>
      <c r="M104" s="41"/>
      <c r="N104" s="16"/>
      <c r="O104" s="52"/>
      <c r="P104" s="42"/>
    </row>
    <row r="105" spans="2:16" ht="18.75" customHeight="1" x14ac:dyDescent="0.35">
      <c r="B105" s="10">
        <v>1</v>
      </c>
      <c r="C105" s="28" t="s">
        <v>142</v>
      </c>
      <c r="D105" s="10">
        <v>1</v>
      </c>
      <c r="E105" s="19">
        <v>40000</v>
      </c>
      <c r="F105" s="41">
        <v>200</v>
      </c>
      <c r="G105" s="41">
        <f>F105*18%</f>
        <v>36</v>
      </c>
      <c r="H105" s="41">
        <v>0</v>
      </c>
      <c r="I105" s="41">
        <f t="shared" si="7"/>
        <v>236</v>
      </c>
      <c r="J105" s="41"/>
      <c r="K105" s="41"/>
      <c r="L105" s="41"/>
      <c r="M105" s="41"/>
      <c r="N105" s="16" t="s">
        <v>79</v>
      </c>
      <c r="O105" s="12" t="s">
        <v>107</v>
      </c>
      <c r="P105" s="42"/>
    </row>
    <row r="106" spans="2:16" ht="18.75" customHeight="1" x14ac:dyDescent="0.35">
      <c r="B106" s="10">
        <v>2</v>
      </c>
      <c r="C106" s="26" t="s">
        <v>143</v>
      </c>
      <c r="D106" s="24">
        <v>1</v>
      </c>
      <c r="E106" s="19">
        <v>45000</v>
      </c>
      <c r="F106" s="41">
        <v>225</v>
      </c>
      <c r="G106" s="41">
        <f>F106*18%</f>
        <v>40.5</v>
      </c>
      <c r="H106" s="41">
        <v>0</v>
      </c>
      <c r="I106" s="41">
        <f t="shared" si="7"/>
        <v>265.5</v>
      </c>
      <c r="J106" s="41"/>
      <c r="K106" s="41"/>
      <c r="L106" s="41"/>
      <c r="M106" s="41"/>
      <c r="N106" s="16" t="s">
        <v>79</v>
      </c>
      <c r="O106" s="12" t="s">
        <v>107</v>
      </c>
      <c r="P106" s="42"/>
    </row>
    <row r="107" spans="2:16" ht="15.5" x14ac:dyDescent="0.35">
      <c r="B107" s="10">
        <v>3</v>
      </c>
      <c r="C107" s="28" t="s">
        <v>144</v>
      </c>
      <c r="D107" s="10">
        <v>1</v>
      </c>
      <c r="E107" s="19">
        <v>40000</v>
      </c>
      <c r="F107" s="41">
        <v>200</v>
      </c>
      <c r="G107" s="41">
        <f>F107*18%</f>
        <v>36</v>
      </c>
      <c r="H107" s="41">
        <v>0</v>
      </c>
      <c r="I107" s="41">
        <f t="shared" si="7"/>
        <v>236</v>
      </c>
      <c r="J107" s="41"/>
      <c r="K107" s="41"/>
      <c r="L107" s="41"/>
      <c r="M107" s="41"/>
      <c r="N107" s="16" t="s">
        <v>79</v>
      </c>
      <c r="O107" s="12" t="s">
        <v>107</v>
      </c>
      <c r="P107" s="42"/>
    </row>
    <row r="108" spans="2:16" ht="17.25" customHeight="1" x14ac:dyDescent="0.35">
      <c r="B108" s="10">
        <v>4</v>
      </c>
      <c r="C108" s="28" t="s">
        <v>145</v>
      </c>
      <c r="D108" s="10">
        <v>1</v>
      </c>
      <c r="E108" s="19">
        <v>36000</v>
      </c>
      <c r="F108" s="41">
        <v>180</v>
      </c>
      <c r="G108" s="41">
        <f>F108*18%</f>
        <v>32.4</v>
      </c>
      <c r="H108" s="41">
        <v>0</v>
      </c>
      <c r="I108" s="41">
        <f t="shared" si="7"/>
        <v>212.4</v>
      </c>
      <c r="J108" s="41"/>
      <c r="K108" s="41"/>
      <c r="L108" s="41"/>
      <c r="M108" s="41"/>
      <c r="N108" s="16" t="s">
        <v>79</v>
      </c>
      <c r="O108" s="12" t="s">
        <v>107</v>
      </c>
      <c r="P108" s="42"/>
    </row>
    <row r="109" spans="2:16" ht="19.5" x14ac:dyDescent="0.35">
      <c r="B109" s="7" t="s">
        <v>146</v>
      </c>
      <c r="C109" s="23"/>
      <c r="D109" s="24"/>
      <c r="E109" s="14"/>
      <c r="F109" s="30"/>
      <c r="G109" s="30"/>
      <c r="H109" s="30"/>
      <c r="I109" s="41"/>
      <c r="J109" s="41"/>
      <c r="K109" s="41"/>
      <c r="L109" s="41"/>
      <c r="M109" s="41"/>
      <c r="N109" s="16"/>
      <c r="O109" s="52"/>
      <c r="P109" s="42"/>
    </row>
    <row r="110" spans="2:16" s="2" customFormat="1" ht="33.75" customHeight="1" x14ac:dyDescent="0.35">
      <c r="B110" s="24">
        <v>1</v>
      </c>
      <c r="C110" s="11" t="s">
        <v>147</v>
      </c>
      <c r="D110" s="13"/>
      <c r="E110" s="14">
        <v>388000</v>
      </c>
      <c r="F110" s="41">
        <v>2910</v>
      </c>
      <c r="G110" s="41">
        <f>F110*18%</f>
        <v>523.79999999999995</v>
      </c>
      <c r="H110" s="41"/>
      <c r="I110" s="41">
        <f t="shared" si="7"/>
        <v>3433.8</v>
      </c>
      <c r="J110" s="41"/>
      <c r="K110" s="41"/>
      <c r="L110" s="41"/>
      <c r="M110" s="41"/>
      <c r="N110" s="16" t="s">
        <v>79</v>
      </c>
      <c r="O110" s="12" t="s">
        <v>148</v>
      </c>
      <c r="P110" s="42"/>
    </row>
    <row r="111" spans="2:16" ht="19.5" x14ac:dyDescent="0.35">
      <c r="B111" s="7" t="s">
        <v>159</v>
      </c>
      <c r="C111" s="23"/>
      <c r="D111" s="10"/>
      <c r="E111" s="30"/>
      <c r="F111" s="53"/>
      <c r="G111" s="53"/>
      <c r="H111" s="53"/>
      <c r="I111" s="54"/>
      <c r="J111" s="54"/>
      <c r="K111" s="54"/>
      <c r="L111" s="54"/>
      <c r="M111" s="54"/>
      <c r="N111" s="55"/>
      <c r="O111" s="33"/>
    </row>
    <row r="112" spans="2:16" ht="43.5" x14ac:dyDescent="0.35">
      <c r="B112" s="29">
        <v>1</v>
      </c>
      <c r="C112" s="33" t="s">
        <v>152</v>
      </c>
      <c r="D112" s="29"/>
      <c r="E112" s="27">
        <v>700000000</v>
      </c>
      <c r="F112" s="34">
        <v>148723</v>
      </c>
      <c r="G112" s="34">
        <v>26770</v>
      </c>
      <c r="H112" s="16">
        <v>0</v>
      </c>
      <c r="I112" s="15">
        <f>+F112+G112+H112</f>
        <v>175493</v>
      </c>
      <c r="J112" s="15"/>
      <c r="K112" s="15"/>
      <c r="L112" s="15"/>
      <c r="M112" s="41">
        <f>J112+K112+L112</f>
        <v>0</v>
      </c>
      <c r="N112" s="16" t="s">
        <v>44</v>
      </c>
      <c r="O112" s="32" t="s">
        <v>151</v>
      </c>
    </row>
    <row r="113" spans="2:15" x14ac:dyDescent="0.35">
      <c r="B113" s="10">
        <v>2</v>
      </c>
      <c r="C113" s="9" t="s">
        <v>149</v>
      </c>
      <c r="D113" s="10"/>
      <c r="E113" s="19">
        <v>700000000</v>
      </c>
      <c r="F113" s="53">
        <v>0</v>
      </c>
      <c r="G113" s="53">
        <v>0</v>
      </c>
      <c r="H113" s="53">
        <v>0</v>
      </c>
      <c r="I113" s="53">
        <v>0</v>
      </c>
      <c r="J113" s="53"/>
      <c r="K113" s="53"/>
      <c r="L113" s="53"/>
      <c r="M113" s="53"/>
      <c r="N113" s="55"/>
      <c r="O113" s="56"/>
    </row>
    <row r="114" spans="2:15" ht="15.5" x14ac:dyDescent="0.35">
      <c r="B114" s="29"/>
      <c r="C114" s="31" t="s">
        <v>150</v>
      </c>
      <c r="D114" s="29"/>
      <c r="E114" s="58">
        <f>SUM(E5:E113)</f>
        <v>4366177805</v>
      </c>
      <c r="F114" s="57">
        <f>SUM(F5:F112)</f>
        <v>2804118</v>
      </c>
      <c r="G114" s="57">
        <f>SUM(G5:G112)</f>
        <v>504741.32</v>
      </c>
      <c r="H114" s="57">
        <f>SUM(H5:H112)</f>
        <v>79855</v>
      </c>
      <c r="I114" s="57">
        <f>SUM(I5:I112)</f>
        <v>3388714.3199999989</v>
      </c>
      <c r="J114" s="57"/>
      <c r="K114" s="57"/>
      <c r="L114" s="57"/>
      <c r="M114" s="57"/>
      <c r="N114" s="55"/>
      <c r="O114" s="33"/>
    </row>
    <row r="116" spans="2:15" x14ac:dyDescent="0.35">
      <c r="J116" s="37" t="s">
        <v>162</v>
      </c>
    </row>
    <row r="117" spans="2:15" x14ac:dyDescent="0.35">
      <c r="J117" s="37" t="s">
        <v>163</v>
      </c>
    </row>
    <row r="119" spans="2:15" x14ac:dyDescent="0.35">
      <c r="J119" s="37" t="s">
        <v>164</v>
      </c>
    </row>
    <row r="120" spans="2:15" ht="15.5" x14ac:dyDescent="0.35">
      <c r="C120" s="48"/>
      <c r="D120" s="48"/>
      <c r="E120" s="48"/>
      <c r="F120" s="48"/>
      <c r="H120" s="35"/>
      <c r="J120" s="37" t="s">
        <v>165</v>
      </c>
    </row>
    <row r="121" spans="2:15" ht="15.5" x14ac:dyDescent="0.35">
      <c r="C121" s="48"/>
      <c r="D121" s="49"/>
      <c r="E121" s="48"/>
      <c r="F121" s="48"/>
      <c r="H121" s="35"/>
    </row>
    <row r="122" spans="2:15" ht="15.5" x14ac:dyDescent="0.35">
      <c r="C122" s="48"/>
      <c r="D122" s="49"/>
      <c r="E122" s="48"/>
      <c r="F122" s="48"/>
      <c r="H122" s="35"/>
    </row>
    <row r="123" spans="2:15" ht="15.5" x14ac:dyDescent="0.35">
      <c r="C123" s="48"/>
      <c r="D123" s="48"/>
      <c r="E123" s="48"/>
      <c r="F123" s="48"/>
      <c r="H123" s="35"/>
    </row>
    <row r="125" spans="2:15" x14ac:dyDescent="0.35">
      <c r="D125" s="2"/>
      <c r="E125" s="50"/>
      <c r="F125" s="50"/>
    </row>
  </sheetData>
  <autoFilter ref="A1:P114"/>
  <mergeCells count="10">
    <mergeCell ref="B2:O2"/>
    <mergeCell ref="E33:E36"/>
    <mergeCell ref="F33:F36"/>
    <mergeCell ref="G33:G36"/>
    <mergeCell ref="H33:H36"/>
    <mergeCell ref="I33:I36"/>
    <mergeCell ref="N33:N36"/>
    <mergeCell ref="O33:O36"/>
    <mergeCell ref="F3:I3"/>
    <mergeCell ref="J3:M3"/>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27"/>
  <sheetViews>
    <sheetView topLeftCell="A10" workbookViewId="0">
      <selection activeCell="E22" sqref="E22"/>
    </sheetView>
  </sheetViews>
  <sheetFormatPr defaultRowHeight="14.5" x14ac:dyDescent="0.35"/>
  <cols>
    <col min="2" max="2" width="21.26953125" customWidth="1"/>
    <col min="3" max="3" width="13.26953125" style="60" bestFit="1" customWidth="1"/>
    <col min="4" max="4" width="15.453125" style="60" customWidth="1"/>
    <col min="5" max="5" width="13.26953125" style="60" bestFit="1" customWidth="1"/>
    <col min="6" max="6" width="12.81640625" style="60" bestFit="1" customWidth="1"/>
    <col min="7" max="7" width="9.1796875" style="60"/>
    <col min="8" max="8" width="37.7265625" customWidth="1"/>
  </cols>
  <sheetData>
    <row r="2" spans="2:10" x14ac:dyDescent="0.35">
      <c r="B2" s="670" t="s">
        <v>176</v>
      </c>
      <c r="C2" s="670"/>
      <c r="D2" s="670"/>
      <c r="E2" s="670"/>
      <c r="F2" s="670"/>
      <c r="G2" s="670"/>
    </row>
    <row r="3" spans="2:10" s="68" customFormat="1" ht="29" x14ac:dyDescent="0.35">
      <c r="B3" s="66" t="s">
        <v>175</v>
      </c>
      <c r="C3" s="67" t="s">
        <v>160</v>
      </c>
      <c r="D3" s="69" t="s">
        <v>167</v>
      </c>
      <c r="E3" s="69" t="s">
        <v>168</v>
      </c>
      <c r="F3" s="67" t="s">
        <v>169</v>
      </c>
      <c r="G3" s="67" t="s">
        <v>170</v>
      </c>
    </row>
    <row r="4" spans="2:10" ht="29" x14ac:dyDescent="0.35">
      <c r="B4" s="62" t="s">
        <v>166</v>
      </c>
      <c r="C4" s="63">
        <v>525103</v>
      </c>
      <c r="D4" s="63">
        <f>C4/2</f>
        <v>262551.5</v>
      </c>
      <c r="E4" s="63">
        <v>144019</v>
      </c>
      <c r="F4" s="63">
        <f>E4-D4</f>
        <v>-118532.5</v>
      </c>
      <c r="G4" s="63">
        <f>F4/E4*100</f>
        <v>-82.303376637804732</v>
      </c>
      <c r="H4" s="70" t="s">
        <v>178</v>
      </c>
      <c r="J4">
        <f>125235/2</f>
        <v>62617.5</v>
      </c>
    </row>
    <row r="5" spans="2:10" x14ac:dyDescent="0.35">
      <c r="B5" s="62" t="s">
        <v>171</v>
      </c>
      <c r="C5" s="63">
        <v>249865</v>
      </c>
      <c r="D5" s="63">
        <f>C5/2</f>
        <v>124932.5</v>
      </c>
      <c r="E5" s="63">
        <v>485311</v>
      </c>
      <c r="F5" s="63">
        <f>E5-D5</f>
        <v>360378.5</v>
      </c>
      <c r="G5" s="63">
        <f>F5/E5*100</f>
        <v>74.257228869735087</v>
      </c>
      <c r="H5" t="s">
        <v>182</v>
      </c>
    </row>
    <row r="6" spans="2:10" x14ac:dyDescent="0.35">
      <c r="B6" s="62" t="s">
        <v>172</v>
      </c>
      <c r="C6" s="63">
        <v>129696</v>
      </c>
      <c r="D6" s="63">
        <f>C6/2</f>
        <v>64848</v>
      </c>
      <c r="E6" s="63">
        <v>65950</v>
      </c>
      <c r="F6" s="63">
        <f>E6-D6</f>
        <v>1102</v>
      </c>
      <c r="G6" s="63">
        <f>F6/E6*100</f>
        <v>1.6709628506444276</v>
      </c>
      <c r="H6" t="s">
        <v>183</v>
      </c>
    </row>
    <row r="7" spans="2:10" x14ac:dyDescent="0.35">
      <c r="B7" s="62" t="s">
        <v>173</v>
      </c>
      <c r="C7" s="63">
        <v>2484050</v>
      </c>
      <c r="D7" s="63">
        <f>C7/2</f>
        <v>1242025</v>
      </c>
      <c r="E7" s="63">
        <v>2148812</v>
      </c>
      <c r="F7" s="63">
        <f>E7-D7</f>
        <v>906787</v>
      </c>
      <c r="G7" s="63">
        <f>F7/E7*100</f>
        <v>42.199457188437144</v>
      </c>
    </row>
    <row r="8" spans="2:10" s="61" customFormat="1" x14ac:dyDescent="0.35">
      <c r="B8" s="64" t="s">
        <v>174</v>
      </c>
      <c r="C8" s="65">
        <f>SUM(C4:C7)</f>
        <v>3388714</v>
      </c>
      <c r="D8" s="65">
        <f>SUM(D4:D7)</f>
        <v>1694357</v>
      </c>
      <c r="E8" s="65">
        <f>SUM(E4:E7)</f>
        <v>2844092</v>
      </c>
      <c r="F8" s="65">
        <f>SUM(F4:F7)</f>
        <v>1149735</v>
      </c>
      <c r="G8" s="65">
        <f>F8/D8*100</f>
        <v>67.856714966208415</v>
      </c>
    </row>
    <row r="9" spans="2:10" x14ac:dyDescent="0.35">
      <c r="B9" s="62"/>
      <c r="C9" s="63"/>
      <c r="D9" s="63"/>
      <c r="E9" s="63"/>
      <c r="F9" s="63"/>
      <c r="G9" s="63"/>
    </row>
    <row r="12" spans="2:10" ht="43.5" x14ac:dyDescent="0.35">
      <c r="B12" s="66" t="s">
        <v>175</v>
      </c>
      <c r="C12" s="67" t="s">
        <v>160</v>
      </c>
      <c r="D12" s="69" t="s">
        <v>177</v>
      </c>
      <c r="E12" s="69" t="s">
        <v>168</v>
      </c>
      <c r="F12" s="69" t="s">
        <v>184</v>
      </c>
      <c r="G12" s="71"/>
    </row>
    <row r="13" spans="2:10" ht="29" x14ac:dyDescent="0.35">
      <c r="B13" s="62" t="s">
        <v>166</v>
      </c>
      <c r="C13" s="63">
        <v>525103</v>
      </c>
      <c r="D13" s="63">
        <f>C13*75%</f>
        <v>393827.25</v>
      </c>
      <c r="E13" s="63">
        <v>144019</v>
      </c>
      <c r="F13" s="63">
        <f>E13/C13*100</f>
        <v>27.426809597355184</v>
      </c>
      <c r="G13" s="72"/>
      <c r="H13" s="70" t="s">
        <v>178</v>
      </c>
    </row>
    <row r="14" spans="2:10" x14ac:dyDescent="0.35">
      <c r="B14" s="62" t="s">
        <v>171</v>
      </c>
      <c r="C14" s="63">
        <v>249865</v>
      </c>
      <c r="D14" s="63">
        <f>C14*75%</f>
        <v>187398.75</v>
      </c>
      <c r="E14" s="63">
        <v>485311</v>
      </c>
      <c r="F14" s="63">
        <f>E14/C14*100</f>
        <v>194.22928381325917</v>
      </c>
      <c r="G14" s="72"/>
      <c r="H14" t="s">
        <v>182</v>
      </c>
    </row>
    <row r="15" spans="2:10" x14ac:dyDescent="0.35">
      <c r="B15" s="62" t="s">
        <v>172</v>
      </c>
      <c r="C15" s="63">
        <v>129696</v>
      </c>
      <c r="D15" s="63">
        <f>C15*75%</f>
        <v>97272</v>
      </c>
      <c r="E15" s="63">
        <v>65950</v>
      </c>
      <c r="F15" s="63">
        <f>E15/C15*100</f>
        <v>50.849679249938319</v>
      </c>
      <c r="G15" s="72"/>
      <c r="H15" t="s">
        <v>183</v>
      </c>
    </row>
    <row r="16" spans="2:10" x14ac:dyDescent="0.35">
      <c r="B16" s="62" t="s">
        <v>173</v>
      </c>
      <c r="C16" s="63">
        <v>2484050</v>
      </c>
      <c r="D16" s="63">
        <f>C16*75%</f>
        <v>1863037.5</v>
      </c>
      <c r="E16" s="63">
        <v>2148812</v>
      </c>
      <c r="F16" s="63">
        <f>E16/C16*100</f>
        <v>86.504377931201063</v>
      </c>
      <c r="G16" s="72"/>
    </row>
    <row r="17" spans="2:7" x14ac:dyDescent="0.35">
      <c r="B17" s="64" t="s">
        <v>174</v>
      </c>
      <c r="C17" s="65">
        <f>SUM(C13:C16)</f>
        <v>3388714</v>
      </c>
      <c r="D17" s="65">
        <f>SUM(D13:D16)</f>
        <v>2541535.5</v>
      </c>
      <c r="E17" s="65">
        <f>SUM(E13:E16)</f>
        <v>2844092</v>
      </c>
      <c r="F17" s="65"/>
      <c r="G17" s="73"/>
    </row>
    <row r="18" spans="2:7" x14ac:dyDescent="0.35">
      <c r="B18" s="62"/>
      <c r="C18" s="63"/>
      <c r="D18" s="63"/>
      <c r="E18" s="63"/>
      <c r="F18" s="63"/>
      <c r="G18" s="72"/>
    </row>
    <row r="20" spans="2:7" x14ac:dyDescent="0.35">
      <c r="B20" t="s">
        <v>171</v>
      </c>
      <c r="C20" s="60" t="s">
        <v>160</v>
      </c>
      <c r="D20" s="60" t="s">
        <v>179</v>
      </c>
    </row>
    <row r="21" spans="2:7" x14ac:dyDescent="0.35">
      <c r="B21" t="s">
        <v>174</v>
      </c>
      <c r="C21" s="60">
        <v>249865</v>
      </c>
      <c r="D21" s="60">
        <v>485311</v>
      </c>
    </row>
    <row r="22" spans="2:7" x14ac:dyDescent="0.35">
      <c r="B22" t="s">
        <v>180</v>
      </c>
      <c r="C22" s="60">
        <v>175493</v>
      </c>
      <c r="D22" s="60">
        <v>411348</v>
      </c>
      <c r="E22" s="60">
        <f>(D22-C22)/C22*100</f>
        <v>134.39567390152314</v>
      </c>
    </row>
    <row r="23" spans="2:7" x14ac:dyDescent="0.35">
      <c r="B23" t="s">
        <v>181</v>
      </c>
      <c r="C23" s="60">
        <f>C21-C22</f>
        <v>74372</v>
      </c>
      <c r="D23" s="60">
        <f>D21-D22</f>
        <v>73963</v>
      </c>
      <c r="E23" s="60">
        <f>(D23-C23)/C23*100</f>
        <v>-0.54993814876566449</v>
      </c>
    </row>
    <row r="27" spans="2:7" x14ac:dyDescent="0.35">
      <c r="C27" s="60">
        <f>C17-C22</f>
        <v>3213221</v>
      </c>
      <c r="D27" s="60">
        <f>E17-D22</f>
        <v>2432744</v>
      </c>
    </row>
  </sheetData>
  <mergeCells count="1">
    <mergeCell ref="B2:G2"/>
  </mergeCells>
  <pageMargins left="0.70866141732283472" right="0.70866141732283472" top="0.74803149606299213" bottom="0.74803149606299213" header="0.31496062992125984" footer="0.31496062992125984"/>
  <pageSetup paperSize="9" scale="70"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233"/>
  <sheetViews>
    <sheetView topLeftCell="A133" workbookViewId="0">
      <selection activeCell="A149" sqref="A149:Q150"/>
    </sheetView>
  </sheetViews>
  <sheetFormatPr defaultColWidth="9.1796875" defaultRowHeight="14.5" x14ac:dyDescent="0.35"/>
  <cols>
    <col min="1" max="1" width="9" style="90" bestFit="1" customWidth="1"/>
    <col min="2" max="2" width="56.7265625" style="90" bestFit="1" customWidth="1"/>
    <col min="3" max="3" width="10.1796875" style="90" bestFit="1" customWidth="1"/>
    <col min="4" max="4" width="14.453125" style="90" customWidth="1"/>
    <col min="5" max="5" width="11.7265625" style="90" customWidth="1"/>
    <col min="6" max="6" width="12.453125" style="90" customWidth="1"/>
    <col min="7" max="7" width="5.26953125" style="90" customWidth="1"/>
    <col min="8" max="8" width="14.453125" style="90" customWidth="1"/>
    <col min="9" max="9" width="15.1796875" style="90" hidden="1" customWidth="1"/>
    <col min="10" max="10" width="12.1796875" style="90" hidden="1" customWidth="1"/>
    <col min="11" max="11" width="14.1796875" style="90" hidden="1" customWidth="1"/>
    <col min="12" max="12" width="15.1796875" style="90" customWidth="1"/>
    <col min="13" max="13" width="14.453125" style="90" bestFit="1" customWidth="1"/>
    <col min="14" max="14" width="14.453125" style="90" hidden="1" customWidth="1"/>
    <col min="15" max="16" width="17.54296875" style="72" bestFit="1" customWidth="1"/>
    <col min="17" max="17" width="16" style="72" bestFit="1" customWidth="1"/>
    <col min="18" max="19" width="14.81640625" style="90" bestFit="1" customWidth="1"/>
    <col min="20" max="16384" width="9.1796875" style="90"/>
  </cols>
  <sheetData>
    <row r="1" spans="1:256" ht="15" thickBot="1" x14ac:dyDescent="0.4"/>
    <row r="2" spans="1:256" s="171" customFormat="1" ht="43.5" customHeight="1" thickBot="1" x14ac:dyDescent="0.4">
      <c r="A2" s="168" t="s">
        <v>263</v>
      </c>
      <c r="B2" s="169" t="s">
        <v>250</v>
      </c>
      <c r="C2" s="169" t="s">
        <v>251</v>
      </c>
      <c r="D2" s="169" t="s">
        <v>252</v>
      </c>
      <c r="E2" s="169" t="s">
        <v>253</v>
      </c>
      <c r="F2" s="169" t="s">
        <v>254</v>
      </c>
      <c r="G2" s="169" t="s">
        <v>255</v>
      </c>
      <c r="H2" s="169" t="s">
        <v>256</v>
      </c>
      <c r="I2" s="169" t="s">
        <v>257</v>
      </c>
      <c r="J2" s="169" t="s">
        <v>258</v>
      </c>
      <c r="K2" s="169" t="s">
        <v>259</v>
      </c>
      <c r="L2" s="169" t="s">
        <v>260</v>
      </c>
      <c r="M2" s="169" t="s">
        <v>261</v>
      </c>
      <c r="N2" s="191" t="s">
        <v>262</v>
      </c>
      <c r="O2" s="192" t="s">
        <v>185</v>
      </c>
      <c r="P2" s="192" t="s">
        <v>186</v>
      </c>
      <c r="Q2" s="192" t="s">
        <v>187</v>
      </c>
      <c r="R2" s="170"/>
      <c r="S2" s="170"/>
      <c r="T2" s="170"/>
      <c r="U2" s="170"/>
      <c r="V2" s="170"/>
      <c r="W2" s="170"/>
      <c r="X2" s="170"/>
      <c r="Y2" s="170"/>
      <c r="Z2" s="170"/>
      <c r="AA2" s="170"/>
      <c r="AB2" s="170"/>
      <c r="AC2" s="170"/>
      <c r="AD2" s="170"/>
      <c r="AE2" s="170"/>
      <c r="AF2" s="170"/>
      <c r="AG2" s="170"/>
      <c r="AH2" s="170"/>
      <c r="AI2" s="170"/>
      <c r="AJ2" s="170"/>
      <c r="AK2" s="170"/>
      <c r="AL2" s="170"/>
      <c r="AM2" s="170"/>
      <c r="AN2" s="170"/>
      <c r="AO2" s="170"/>
      <c r="AP2" s="170"/>
      <c r="AQ2" s="170"/>
      <c r="AR2" s="170"/>
      <c r="AS2" s="170"/>
      <c r="AT2" s="170"/>
      <c r="AU2" s="170"/>
      <c r="AV2" s="170"/>
      <c r="AW2" s="170"/>
      <c r="AX2" s="170"/>
      <c r="AY2" s="170"/>
      <c r="AZ2" s="170"/>
      <c r="BA2" s="170"/>
      <c r="BB2" s="170"/>
      <c r="BC2" s="170"/>
      <c r="BD2" s="170"/>
      <c r="BE2" s="170"/>
      <c r="BF2" s="170"/>
      <c r="BG2" s="170"/>
      <c r="BH2" s="170"/>
      <c r="BI2" s="170"/>
      <c r="BJ2" s="170"/>
      <c r="BK2" s="170"/>
      <c r="BL2" s="170"/>
      <c r="BM2" s="170"/>
      <c r="BN2" s="170"/>
      <c r="BO2" s="170"/>
      <c r="BP2" s="170"/>
      <c r="BQ2" s="170"/>
      <c r="BR2" s="170"/>
      <c r="BS2" s="170"/>
      <c r="BT2" s="170"/>
      <c r="BU2" s="170"/>
      <c r="BV2" s="170"/>
      <c r="BW2" s="170"/>
      <c r="BX2" s="170"/>
      <c r="BY2" s="170"/>
      <c r="BZ2" s="170"/>
      <c r="CA2" s="170"/>
      <c r="CB2" s="170"/>
      <c r="CC2" s="170"/>
      <c r="CD2" s="170"/>
      <c r="CE2" s="170"/>
      <c r="CF2" s="170"/>
      <c r="CG2" s="170"/>
      <c r="CH2" s="170"/>
      <c r="CI2" s="170"/>
      <c r="CJ2" s="170"/>
      <c r="CK2" s="170"/>
      <c r="CL2" s="170"/>
      <c r="CM2" s="170"/>
      <c r="CN2" s="170"/>
      <c r="CO2" s="170"/>
      <c r="CP2" s="170"/>
      <c r="CQ2" s="170"/>
      <c r="CR2" s="170"/>
      <c r="CS2" s="170"/>
      <c r="CT2" s="170"/>
      <c r="CU2" s="170"/>
      <c r="CV2" s="170"/>
      <c r="CW2" s="170"/>
      <c r="CX2" s="170"/>
      <c r="CY2" s="170"/>
      <c r="CZ2" s="170"/>
      <c r="DA2" s="170"/>
      <c r="DB2" s="170"/>
      <c r="DC2" s="170"/>
      <c r="DD2" s="170"/>
      <c r="DE2" s="170"/>
      <c r="DF2" s="170"/>
      <c r="DG2" s="170"/>
      <c r="DH2" s="170"/>
      <c r="DI2" s="170"/>
      <c r="DJ2" s="170"/>
      <c r="DK2" s="170"/>
      <c r="DL2" s="170"/>
      <c r="DM2" s="170"/>
      <c r="DN2" s="170"/>
      <c r="DO2" s="170"/>
      <c r="DP2" s="170"/>
      <c r="DQ2" s="170"/>
      <c r="DR2" s="170"/>
      <c r="DS2" s="170"/>
      <c r="DT2" s="170"/>
      <c r="DU2" s="170"/>
      <c r="DV2" s="170"/>
      <c r="DW2" s="170"/>
      <c r="DX2" s="170"/>
      <c r="DY2" s="170"/>
      <c r="DZ2" s="170"/>
      <c r="EA2" s="170"/>
      <c r="EB2" s="170"/>
      <c r="EC2" s="170"/>
      <c r="ED2" s="170"/>
      <c r="EE2" s="170"/>
      <c r="EF2" s="170"/>
      <c r="EG2" s="170"/>
      <c r="EH2" s="170"/>
      <c r="EI2" s="170"/>
      <c r="EJ2" s="170"/>
      <c r="EK2" s="170"/>
      <c r="EL2" s="170"/>
      <c r="EM2" s="170"/>
      <c r="EN2" s="170"/>
      <c r="EO2" s="170"/>
      <c r="EP2" s="170"/>
      <c r="EQ2" s="170"/>
      <c r="ER2" s="170"/>
      <c r="ES2" s="170"/>
      <c r="ET2" s="170"/>
      <c r="EU2" s="170"/>
      <c r="EV2" s="170"/>
      <c r="EW2" s="170"/>
      <c r="EX2" s="170"/>
      <c r="EY2" s="170"/>
      <c r="EZ2" s="170"/>
      <c r="FA2" s="170"/>
      <c r="FB2" s="170"/>
      <c r="FC2" s="170"/>
      <c r="FD2" s="170"/>
      <c r="FE2" s="170"/>
      <c r="FF2" s="170"/>
      <c r="FG2" s="170"/>
      <c r="FH2" s="170"/>
      <c r="FI2" s="170"/>
      <c r="FJ2" s="170"/>
      <c r="FK2" s="170"/>
      <c r="FL2" s="170"/>
      <c r="FM2" s="170"/>
      <c r="FN2" s="170"/>
      <c r="FO2" s="170"/>
      <c r="FP2" s="170"/>
      <c r="FQ2" s="170"/>
      <c r="FR2" s="170"/>
      <c r="FS2" s="170"/>
      <c r="FT2" s="170"/>
      <c r="FU2" s="170"/>
      <c r="FV2" s="170"/>
      <c r="FW2" s="170"/>
      <c r="FX2" s="170"/>
      <c r="FY2" s="170"/>
      <c r="FZ2" s="170"/>
      <c r="GA2" s="170"/>
      <c r="GB2" s="170"/>
      <c r="GC2" s="170"/>
      <c r="GD2" s="170"/>
      <c r="GE2" s="170"/>
      <c r="GF2" s="170"/>
      <c r="GG2" s="170"/>
      <c r="GH2" s="170"/>
      <c r="GI2" s="170"/>
      <c r="GJ2" s="170"/>
      <c r="GK2" s="170"/>
      <c r="GL2" s="170"/>
      <c r="GM2" s="170"/>
      <c r="GN2" s="170"/>
      <c r="GO2" s="170"/>
      <c r="GP2" s="170"/>
      <c r="GQ2" s="170"/>
      <c r="GR2" s="170"/>
      <c r="GS2" s="170"/>
      <c r="GT2" s="170"/>
      <c r="GU2" s="170"/>
      <c r="GV2" s="170"/>
      <c r="GW2" s="170"/>
      <c r="GX2" s="170"/>
      <c r="GY2" s="170"/>
      <c r="GZ2" s="170"/>
      <c r="HA2" s="170"/>
      <c r="HB2" s="170"/>
      <c r="HC2" s="170"/>
      <c r="HD2" s="170"/>
      <c r="HE2" s="170"/>
      <c r="HF2" s="170"/>
      <c r="HG2" s="170"/>
      <c r="HH2" s="170"/>
      <c r="HI2" s="170"/>
      <c r="HJ2" s="170"/>
      <c r="HK2" s="170"/>
      <c r="HL2" s="170"/>
      <c r="HM2" s="170"/>
      <c r="HN2" s="170"/>
      <c r="HO2" s="170"/>
      <c r="HP2" s="170"/>
      <c r="HQ2" s="170"/>
      <c r="HR2" s="170"/>
      <c r="HS2" s="170"/>
      <c r="HT2" s="170"/>
      <c r="HU2" s="170"/>
      <c r="HV2" s="170"/>
      <c r="HW2" s="170"/>
      <c r="HX2" s="170"/>
      <c r="HY2" s="170"/>
      <c r="HZ2" s="170"/>
      <c r="IA2" s="170"/>
      <c r="IB2" s="170"/>
      <c r="IC2" s="170"/>
      <c r="ID2" s="170"/>
      <c r="IE2" s="170"/>
      <c r="IF2" s="170"/>
      <c r="IG2" s="170"/>
      <c r="IH2" s="170"/>
      <c r="II2" s="170"/>
      <c r="IJ2" s="170"/>
      <c r="IK2" s="170"/>
      <c r="IL2" s="170"/>
      <c r="IM2" s="170"/>
      <c r="IN2" s="170"/>
      <c r="IO2" s="170"/>
      <c r="IP2" s="170"/>
      <c r="IQ2" s="170"/>
      <c r="IR2" s="170"/>
      <c r="IS2" s="170"/>
      <c r="IT2" s="170"/>
      <c r="IU2" s="170"/>
      <c r="IV2" s="170"/>
    </row>
    <row r="3" spans="1:256" s="99" customFormat="1" ht="20" thickBot="1" x14ac:dyDescent="0.4">
      <c r="A3" s="672" t="s">
        <v>7</v>
      </c>
      <c r="B3" s="673"/>
      <c r="C3" s="103"/>
      <c r="D3" s="103"/>
      <c r="E3" s="103"/>
      <c r="F3" s="103"/>
      <c r="G3" s="103"/>
      <c r="H3" s="103"/>
      <c r="I3" s="103"/>
      <c r="J3" s="103"/>
      <c r="K3" s="103"/>
      <c r="L3" s="103"/>
      <c r="M3" s="103"/>
      <c r="N3" s="104"/>
      <c r="O3" s="193"/>
      <c r="P3" s="193"/>
      <c r="Q3" s="193"/>
    </row>
    <row r="4" spans="1:256" s="100" customFormat="1" ht="15.5" x14ac:dyDescent="0.35">
      <c r="A4" s="117">
        <v>1</v>
      </c>
      <c r="B4" s="118" t="s">
        <v>8</v>
      </c>
      <c r="C4" s="119"/>
      <c r="D4" s="119"/>
      <c r="E4" s="119"/>
      <c r="F4" s="119"/>
      <c r="G4" s="119"/>
      <c r="H4" s="119"/>
      <c r="I4" s="119"/>
      <c r="J4" s="119"/>
      <c r="K4" s="119"/>
      <c r="L4" s="119"/>
      <c r="M4" s="119"/>
      <c r="N4" s="120"/>
      <c r="O4" s="206"/>
      <c r="P4" s="206"/>
      <c r="Q4" s="207"/>
    </row>
    <row r="5" spans="1:256" s="99" customFormat="1" ht="15" thickBot="1" x14ac:dyDescent="0.4">
      <c r="A5" s="113">
        <v>10500005</v>
      </c>
      <c r="B5" s="114" t="s">
        <v>190</v>
      </c>
      <c r="C5" s="114" t="s">
        <v>191</v>
      </c>
      <c r="D5" s="115">
        <v>353344431</v>
      </c>
      <c r="E5" s="114">
        <v>0</v>
      </c>
      <c r="F5" s="114">
        <v>0</v>
      </c>
      <c r="G5" s="114">
        <v>0</v>
      </c>
      <c r="H5" s="115">
        <f>SUM(D5:G5)</f>
        <v>353344431</v>
      </c>
      <c r="I5" s="115">
        <v>-353344430</v>
      </c>
      <c r="J5" s="114">
        <v>0</v>
      </c>
      <c r="K5" s="114">
        <v>0</v>
      </c>
      <c r="L5" s="115">
        <f>SUM(I5:K5)</f>
        <v>-353344430</v>
      </c>
      <c r="M5" s="114">
        <v>1</v>
      </c>
      <c r="N5" s="116">
        <v>1</v>
      </c>
      <c r="O5" s="208">
        <v>1800000000</v>
      </c>
      <c r="P5" s="208">
        <f>O5*0.95</f>
        <v>1710000000</v>
      </c>
      <c r="Q5" s="199">
        <f>O5-P5</f>
        <v>90000000</v>
      </c>
    </row>
    <row r="6" spans="1:256" s="99" customFormat="1" ht="15" thickBot="1" x14ac:dyDescent="0.4">
      <c r="A6" s="107"/>
      <c r="N6" s="108"/>
      <c r="O6" s="193"/>
      <c r="P6" s="193"/>
      <c r="Q6" s="193"/>
    </row>
    <row r="7" spans="1:256" s="100" customFormat="1" ht="15.5" x14ac:dyDescent="0.35">
      <c r="A7" s="117">
        <v>2</v>
      </c>
      <c r="B7" s="118" t="s">
        <v>11</v>
      </c>
      <c r="C7" s="119"/>
      <c r="D7" s="119"/>
      <c r="E7" s="119"/>
      <c r="F7" s="119"/>
      <c r="G7" s="119"/>
      <c r="H7" s="119"/>
      <c r="I7" s="119"/>
      <c r="J7" s="119"/>
      <c r="K7" s="119"/>
      <c r="L7" s="119"/>
      <c r="M7" s="119"/>
      <c r="N7" s="120"/>
      <c r="O7" s="206"/>
      <c r="P7" s="206"/>
      <c r="Q7" s="207"/>
    </row>
    <row r="8" spans="1:256" s="99" customFormat="1" ht="15" thickBot="1" x14ac:dyDescent="0.4">
      <c r="A8" s="107">
        <v>10600047</v>
      </c>
      <c r="B8" s="99" t="s">
        <v>192</v>
      </c>
      <c r="C8" s="99" t="s">
        <v>193</v>
      </c>
      <c r="D8" s="101">
        <v>83407342.640000001</v>
      </c>
      <c r="E8" s="99">
        <v>0</v>
      </c>
      <c r="F8" s="99">
        <v>0</v>
      </c>
      <c r="G8" s="99">
        <v>0</v>
      </c>
      <c r="H8" s="101">
        <f>SUM(D8:G8)</f>
        <v>83407342.640000001</v>
      </c>
      <c r="I8" s="101">
        <v>-75343002</v>
      </c>
      <c r="J8" s="99">
        <v>0</v>
      </c>
      <c r="K8" s="101">
        <f>-8064339.64-1</f>
        <v>-8064340.6399999997</v>
      </c>
      <c r="L8" s="101">
        <f>SUM(I8:K8)</f>
        <v>-83407342.640000001</v>
      </c>
      <c r="M8" s="99">
        <v>1</v>
      </c>
      <c r="N8" s="109">
        <v>8064340.6399999997</v>
      </c>
      <c r="O8" s="193">
        <f>157797675*72000000/173750704</f>
        <v>65389275.199713722</v>
      </c>
      <c r="P8" s="208">
        <f t="shared" ref="P8:P9" si="0">O8*0.95</f>
        <v>62119811.439728037</v>
      </c>
      <c r="Q8" s="209">
        <f>O8-P8</f>
        <v>3269463.7599856853</v>
      </c>
      <c r="R8" s="212">
        <f>O8-P8</f>
        <v>3269463.7599856853</v>
      </c>
    </row>
    <row r="9" spans="1:256" s="99" customFormat="1" ht="15" thickBot="1" x14ac:dyDescent="0.4">
      <c r="A9" s="107">
        <v>10600047</v>
      </c>
      <c r="B9" s="99" t="s">
        <v>192</v>
      </c>
      <c r="C9" s="99" t="s">
        <v>193</v>
      </c>
      <c r="D9" s="101">
        <v>8432315.4800000004</v>
      </c>
      <c r="E9" s="99">
        <v>0</v>
      </c>
      <c r="F9" s="99">
        <v>0</v>
      </c>
      <c r="G9" s="99">
        <v>0</v>
      </c>
      <c r="H9" s="101">
        <f>SUM(D9:G9)</f>
        <v>8432315.4800000004</v>
      </c>
      <c r="I9" s="101">
        <v>-7648227</v>
      </c>
      <c r="J9" s="99">
        <v>0</v>
      </c>
      <c r="K9" s="101">
        <v>-784087.48</v>
      </c>
      <c r="L9" s="101">
        <f>SUM(I9:K9)</f>
        <v>-8432314.4800000004</v>
      </c>
      <c r="M9" s="99">
        <v>1</v>
      </c>
      <c r="N9" s="109">
        <v>784088.48</v>
      </c>
      <c r="O9" s="193">
        <f>15953029*72000000/173750704</f>
        <v>6610724.8002862772</v>
      </c>
      <c r="P9" s="208">
        <f t="shared" si="0"/>
        <v>6280188.5602719635</v>
      </c>
      <c r="Q9" s="209">
        <f>O9-P9</f>
        <v>330536.24001431372</v>
      </c>
      <c r="R9" s="212">
        <f>O9-P9</f>
        <v>330536.24001431372</v>
      </c>
    </row>
    <row r="10" spans="1:256" s="99" customFormat="1" ht="15" thickBot="1" x14ac:dyDescent="0.4">
      <c r="A10" s="113"/>
      <c r="B10" s="114"/>
      <c r="C10" s="114"/>
      <c r="D10" s="121">
        <f>SUM(D8:D9)</f>
        <v>91839658.120000005</v>
      </c>
      <c r="E10" s="121">
        <f t="shared" ref="E10:Q10" si="1">SUM(E8:E9)</f>
        <v>0</v>
      </c>
      <c r="F10" s="121">
        <f t="shared" si="1"/>
        <v>0</v>
      </c>
      <c r="G10" s="121">
        <f t="shared" si="1"/>
        <v>0</v>
      </c>
      <c r="H10" s="121">
        <f t="shared" si="1"/>
        <v>91839658.120000005</v>
      </c>
      <c r="I10" s="121">
        <f t="shared" si="1"/>
        <v>-82991229</v>
      </c>
      <c r="J10" s="121">
        <f t="shared" si="1"/>
        <v>0</v>
      </c>
      <c r="K10" s="121">
        <f t="shared" si="1"/>
        <v>-8848428.1199999992</v>
      </c>
      <c r="L10" s="121">
        <f t="shared" si="1"/>
        <v>-91839657.120000005</v>
      </c>
      <c r="M10" s="121">
        <f t="shared" si="1"/>
        <v>2</v>
      </c>
      <c r="N10" s="122">
        <f t="shared" si="1"/>
        <v>8848429.1199999992</v>
      </c>
      <c r="O10" s="121">
        <f t="shared" si="1"/>
        <v>72000000</v>
      </c>
      <c r="P10" s="121">
        <f t="shared" si="1"/>
        <v>68400000</v>
      </c>
      <c r="Q10" s="122">
        <f t="shared" si="1"/>
        <v>3599999.9999999991</v>
      </c>
      <c r="R10" s="212">
        <f>SUM(R8:R9)</f>
        <v>3599999.9999999991</v>
      </c>
    </row>
    <row r="11" spans="1:256" s="99" customFormat="1" ht="15" thickBot="1" x14ac:dyDescent="0.4">
      <c r="A11" s="107"/>
      <c r="N11" s="108"/>
      <c r="O11" s="193"/>
      <c r="P11" s="193"/>
      <c r="Q11" s="193"/>
    </row>
    <row r="12" spans="1:256" s="100" customFormat="1" ht="15.5" x14ac:dyDescent="0.35">
      <c r="A12" s="117">
        <v>3</v>
      </c>
      <c r="B12" s="118" t="s">
        <v>13</v>
      </c>
      <c r="C12" s="119"/>
      <c r="D12" s="119"/>
      <c r="E12" s="119"/>
      <c r="F12" s="119"/>
      <c r="G12" s="119"/>
      <c r="H12" s="119"/>
      <c r="I12" s="119"/>
      <c r="J12" s="119"/>
      <c r="K12" s="119"/>
      <c r="L12" s="119"/>
      <c r="M12" s="119"/>
      <c r="N12" s="120"/>
      <c r="O12" s="206"/>
      <c r="P12" s="206"/>
      <c r="Q12" s="207"/>
    </row>
    <row r="13" spans="1:256" s="99" customFormat="1" x14ac:dyDescent="0.35">
      <c r="A13" s="107">
        <v>10600045</v>
      </c>
      <c r="B13" s="99" t="s">
        <v>194</v>
      </c>
      <c r="C13" s="99" t="s">
        <v>195</v>
      </c>
      <c r="D13" s="101">
        <v>17099807.629999999</v>
      </c>
      <c r="E13" s="99">
        <v>0</v>
      </c>
      <c r="F13" s="99">
        <v>0</v>
      </c>
      <c r="G13" s="99">
        <v>0</v>
      </c>
      <c r="H13" s="101">
        <v>17099807.629999999</v>
      </c>
      <c r="I13" s="101">
        <v>-17099806.629999999</v>
      </c>
      <c r="J13" s="99">
        <v>0</v>
      </c>
      <c r="K13" s="99">
        <v>0</v>
      </c>
      <c r="L13" s="101">
        <v>-17099806.629999999</v>
      </c>
      <c r="M13" s="99">
        <v>1</v>
      </c>
      <c r="N13" s="108">
        <v>1</v>
      </c>
      <c r="O13" s="193">
        <v>43926111</v>
      </c>
      <c r="P13" s="193">
        <f>O13*0.95*17/20</f>
        <v>35470334.6325</v>
      </c>
      <c r="Q13" s="209">
        <f>O13-P13</f>
        <v>8455776.3674999997</v>
      </c>
    </row>
    <row r="14" spans="1:256" s="99" customFormat="1" x14ac:dyDescent="0.35">
      <c r="A14" s="107">
        <v>10600048</v>
      </c>
      <c r="B14" s="99" t="s">
        <v>196</v>
      </c>
      <c r="C14" s="99" t="s">
        <v>197</v>
      </c>
      <c r="D14" s="101">
        <v>25251924</v>
      </c>
      <c r="E14" s="99">
        <v>0</v>
      </c>
      <c r="F14" s="99">
        <v>0</v>
      </c>
      <c r="G14" s="99">
        <v>0</v>
      </c>
      <c r="H14" s="101">
        <v>25251924</v>
      </c>
      <c r="I14" s="101">
        <v>-10280354</v>
      </c>
      <c r="J14" s="99">
        <v>0</v>
      </c>
      <c r="K14" s="101">
        <v>-1683494</v>
      </c>
      <c r="L14" s="101">
        <v>-11963848</v>
      </c>
      <c r="M14" s="101">
        <v>13288076</v>
      </c>
      <c r="N14" s="109">
        <v>14971570</v>
      </c>
      <c r="O14" s="193">
        <v>35352694</v>
      </c>
      <c r="P14" s="193">
        <f>O14*0.95*8/20</f>
        <v>13434023.719999999</v>
      </c>
      <c r="Q14" s="209">
        <f t="shared" ref="Q14:Q21" si="2">O14-P14</f>
        <v>21918670.280000001</v>
      </c>
    </row>
    <row r="15" spans="1:256" s="99" customFormat="1" x14ac:dyDescent="0.35">
      <c r="A15" s="107">
        <v>10600053</v>
      </c>
      <c r="B15" s="99" t="s">
        <v>198</v>
      </c>
      <c r="C15" s="99" t="s">
        <v>199</v>
      </c>
      <c r="D15" s="101">
        <v>557733</v>
      </c>
      <c r="E15" s="99">
        <v>0</v>
      </c>
      <c r="F15" s="99">
        <v>0</v>
      </c>
      <c r="G15" s="99">
        <v>0</v>
      </c>
      <c r="H15" s="101">
        <v>557733</v>
      </c>
      <c r="I15" s="101">
        <v>-288689</v>
      </c>
      <c r="J15" s="99">
        <v>0</v>
      </c>
      <c r="K15" s="101">
        <v>-36807</v>
      </c>
      <c r="L15" s="101">
        <v>-325496</v>
      </c>
      <c r="M15" s="101">
        <v>232237</v>
      </c>
      <c r="N15" s="109">
        <v>269044</v>
      </c>
      <c r="O15" s="193">
        <v>935121</v>
      </c>
      <c r="P15" s="193">
        <f>O15*0.95*9/20</f>
        <v>399764.22749999998</v>
      </c>
      <c r="Q15" s="209">
        <f t="shared" si="2"/>
        <v>535356.77249999996</v>
      </c>
    </row>
    <row r="16" spans="1:256" s="99" customFormat="1" x14ac:dyDescent="0.35">
      <c r="A16" s="107">
        <v>10600054</v>
      </c>
      <c r="B16" s="99" t="s">
        <v>200</v>
      </c>
      <c r="C16" s="99" t="s">
        <v>199</v>
      </c>
      <c r="D16" s="101">
        <v>557733</v>
      </c>
      <c r="E16" s="99">
        <v>0</v>
      </c>
      <c r="F16" s="99">
        <v>0</v>
      </c>
      <c r="G16" s="99">
        <v>0</v>
      </c>
      <c r="H16" s="101">
        <v>557733</v>
      </c>
      <c r="I16" s="101">
        <v>-288689</v>
      </c>
      <c r="J16" s="99">
        <v>0</v>
      </c>
      <c r="K16" s="101">
        <v>-36807</v>
      </c>
      <c r="L16" s="101">
        <v>-325496</v>
      </c>
      <c r="M16" s="101">
        <v>232237</v>
      </c>
      <c r="N16" s="109">
        <v>269044</v>
      </c>
      <c r="O16" s="193">
        <v>935121</v>
      </c>
      <c r="P16" s="193">
        <f t="shared" ref="P16:P21" si="3">O16*0.95*9/20</f>
        <v>399764.22749999998</v>
      </c>
      <c r="Q16" s="209">
        <f t="shared" si="2"/>
        <v>535356.77249999996</v>
      </c>
    </row>
    <row r="17" spans="1:19" s="99" customFormat="1" x14ac:dyDescent="0.35">
      <c r="A17" s="107">
        <v>10600055</v>
      </c>
      <c r="B17" s="99" t="s">
        <v>374</v>
      </c>
      <c r="C17" s="99" t="s">
        <v>199</v>
      </c>
      <c r="D17" s="101">
        <v>557733</v>
      </c>
      <c r="E17" s="99">
        <v>0</v>
      </c>
      <c r="F17" s="99">
        <v>0</v>
      </c>
      <c r="G17" s="99">
        <v>0</v>
      </c>
      <c r="H17" s="101">
        <v>557733</v>
      </c>
      <c r="I17" s="101">
        <v>-288689</v>
      </c>
      <c r="J17" s="99">
        <v>0</v>
      </c>
      <c r="K17" s="101">
        <v>-36807</v>
      </c>
      <c r="L17" s="101">
        <v>-325496</v>
      </c>
      <c r="M17" s="101">
        <v>232237</v>
      </c>
      <c r="N17" s="109">
        <v>269044</v>
      </c>
      <c r="O17" s="193">
        <v>935121</v>
      </c>
      <c r="P17" s="193">
        <f t="shared" si="3"/>
        <v>399764.22749999998</v>
      </c>
      <c r="Q17" s="209">
        <f t="shared" si="2"/>
        <v>535356.77249999996</v>
      </c>
    </row>
    <row r="18" spans="1:19" s="99" customFormat="1" x14ac:dyDescent="0.35">
      <c r="A18" s="107">
        <v>10600056</v>
      </c>
      <c r="B18" s="99" t="s">
        <v>375</v>
      </c>
      <c r="C18" s="99" t="s">
        <v>199</v>
      </c>
      <c r="D18" s="101">
        <v>557733</v>
      </c>
      <c r="E18" s="99">
        <v>0</v>
      </c>
      <c r="F18" s="99">
        <v>0</v>
      </c>
      <c r="G18" s="99">
        <v>0</v>
      </c>
      <c r="H18" s="101">
        <v>458581</v>
      </c>
      <c r="I18" s="101">
        <v>-288689</v>
      </c>
      <c r="J18" s="99">
        <v>0</v>
      </c>
      <c r="K18" s="101">
        <v>-36807</v>
      </c>
      <c r="L18" s="101">
        <f>M18-H18</f>
        <v>-267631</v>
      </c>
      <c r="M18" s="101">
        <v>190950</v>
      </c>
      <c r="N18" s="109"/>
      <c r="O18" s="193">
        <v>768878</v>
      </c>
      <c r="P18" s="193">
        <f t="shared" si="3"/>
        <v>328695.34499999997</v>
      </c>
      <c r="Q18" s="209">
        <f t="shared" si="2"/>
        <v>440182.65500000003</v>
      </c>
    </row>
    <row r="19" spans="1:19" s="99" customFormat="1" x14ac:dyDescent="0.35">
      <c r="A19" s="107">
        <v>10600057</v>
      </c>
      <c r="B19" s="99" t="s">
        <v>376</v>
      </c>
      <c r="C19" s="99" t="s">
        <v>199</v>
      </c>
      <c r="D19" s="101">
        <v>557733</v>
      </c>
      <c r="E19" s="99">
        <v>0</v>
      </c>
      <c r="F19" s="99">
        <v>0</v>
      </c>
      <c r="G19" s="99">
        <v>0</v>
      </c>
      <c r="H19" s="101">
        <v>458580</v>
      </c>
      <c r="I19" s="101">
        <v>-288689</v>
      </c>
      <c r="J19" s="99">
        <v>0</v>
      </c>
      <c r="K19" s="101">
        <v>-36807</v>
      </c>
      <c r="L19" s="101">
        <f>M19-H19</f>
        <v>-267630</v>
      </c>
      <c r="M19" s="101">
        <v>190950</v>
      </c>
      <c r="N19" s="109"/>
      <c r="O19" s="193">
        <v>768877</v>
      </c>
      <c r="P19" s="193">
        <f t="shared" si="3"/>
        <v>328694.91750000004</v>
      </c>
      <c r="Q19" s="209">
        <f t="shared" si="2"/>
        <v>440182.08249999996</v>
      </c>
    </row>
    <row r="20" spans="1:19" s="99" customFormat="1" x14ac:dyDescent="0.35">
      <c r="A20" s="107">
        <v>10600058</v>
      </c>
      <c r="B20" s="99" t="s">
        <v>377</v>
      </c>
      <c r="C20" s="99" t="s">
        <v>199</v>
      </c>
      <c r="D20" s="101">
        <v>557733</v>
      </c>
      <c r="E20" s="99">
        <v>0</v>
      </c>
      <c r="F20" s="99">
        <v>0</v>
      </c>
      <c r="G20" s="99">
        <v>0</v>
      </c>
      <c r="H20" s="101">
        <v>458580</v>
      </c>
      <c r="I20" s="101">
        <v>-288689</v>
      </c>
      <c r="J20" s="99">
        <v>0</v>
      </c>
      <c r="K20" s="101">
        <v>-36807</v>
      </c>
      <c r="L20" s="101">
        <f>M20-H20</f>
        <v>-267630</v>
      </c>
      <c r="M20" s="101">
        <v>190950</v>
      </c>
      <c r="N20" s="109"/>
      <c r="O20" s="193">
        <v>768877</v>
      </c>
      <c r="P20" s="193">
        <f t="shared" si="3"/>
        <v>328694.91750000004</v>
      </c>
      <c r="Q20" s="209">
        <f t="shared" si="2"/>
        <v>440182.08249999996</v>
      </c>
    </row>
    <row r="21" spans="1:19" s="99" customFormat="1" x14ac:dyDescent="0.35">
      <c r="A21" s="107">
        <v>10600059</v>
      </c>
      <c r="B21" s="99" t="s">
        <v>378</v>
      </c>
      <c r="C21" s="99" t="s">
        <v>199</v>
      </c>
      <c r="D21" s="101">
        <v>557733</v>
      </c>
      <c r="E21" s="99">
        <v>0</v>
      </c>
      <c r="F21" s="99">
        <v>0</v>
      </c>
      <c r="G21" s="99">
        <v>0</v>
      </c>
      <c r="H21" s="101">
        <v>458580</v>
      </c>
      <c r="I21" s="101">
        <v>-288689</v>
      </c>
      <c r="J21" s="99">
        <v>0</v>
      </c>
      <c r="K21" s="101">
        <v>-36807</v>
      </c>
      <c r="L21" s="101">
        <f>M21-H21</f>
        <v>-267630</v>
      </c>
      <c r="M21" s="101">
        <v>190950</v>
      </c>
      <c r="N21" s="109"/>
      <c r="O21" s="193">
        <v>768877</v>
      </c>
      <c r="P21" s="193">
        <f t="shared" si="3"/>
        <v>328694.91750000004</v>
      </c>
      <c r="Q21" s="209">
        <f t="shared" si="2"/>
        <v>440182.08249999996</v>
      </c>
    </row>
    <row r="22" spans="1:19" s="100" customFormat="1" ht="15" thickBot="1" x14ac:dyDescent="0.4">
      <c r="A22" s="123"/>
      <c r="B22" s="124"/>
      <c r="C22" s="124"/>
      <c r="D22" s="121">
        <f>SUM(D13:D16)</f>
        <v>43467197.629999995</v>
      </c>
      <c r="E22" s="121">
        <f t="shared" ref="E22:K22" si="4">SUM(E13:E16)</f>
        <v>0</v>
      </c>
      <c r="F22" s="121">
        <f t="shared" si="4"/>
        <v>0</v>
      </c>
      <c r="G22" s="121">
        <f t="shared" si="4"/>
        <v>0</v>
      </c>
      <c r="H22" s="121">
        <f>SUM(H13:H21)</f>
        <v>45859251.629999995</v>
      </c>
      <c r="I22" s="121">
        <f t="shared" si="4"/>
        <v>-27957538.629999999</v>
      </c>
      <c r="J22" s="121">
        <f t="shared" si="4"/>
        <v>0</v>
      </c>
      <c r="K22" s="121">
        <f t="shared" si="4"/>
        <v>-1757108</v>
      </c>
      <c r="L22" s="121">
        <f t="shared" ref="L22:Q22" si="5">SUM(L13:L21)</f>
        <v>-31110663.629999999</v>
      </c>
      <c r="M22" s="121">
        <f t="shared" si="5"/>
        <v>14748588</v>
      </c>
      <c r="N22" s="121">
        <f t="shared" si="5"/>
        <v>15778703</v>
      </c>
      <c r="O22" s="121">
        <f t="shared" si="5"/>
        <v>85159677</v>
      </c>
      <c r="P22" s="121">
        <f t="shared" si="5"/>
        <v>51418431.132499985</v>
      </c>
      <c r="Q22" s="121">
        <f t="shared" si="5"/>
        <v>33741245.867500007</v>
      </c>
    </row>
    <row r="23" spans="1:19" s="100" customFormat="1" ht="15" thickBot="1" x14ac:dyDescent="0.4">
      <c r="A23" s="111"/>
      <c r="D23" s="102"/>
      <c r="E23" s="102"/>
      <c r="F23" s="102"/>
      <c r="G23" s="102"/>
      <c r="H23" s="102"/>
      <c r="I23" s="102"/>
      <c r="J23" s="102"/>
      <c r="K23" s="102"/>
      <c r="L23" s="102"/>
      <c r="M23" s="102"/>
      <c r="N23" s="110"/>
      <c r="O23" s="194"/>
      <c r="P23" s="194"/>
      <c r="Q23" s="194"/>
    </row>
    <row r="24" spans="1:19" s="100" customFormat="1" ht="15.5" x14ac:dyDescent="0.35">
      <c r="A24" s="117">
        <v>4</v>
      </c>
      <c r="B24" s="118" t="s">
        <v>15</v>
      </c>
      <c r="C24" s="119"/>
      <c r="D24" s="119"/>
      <c r="E24" s="119"/>
      <c r="F24" s="119"/>
      <c r="G24" s="119"/>
      <c r="H24" s="119"/>
      <c r="I24" s="119"/>
      <c r="J24" s="119"/>
      <c r="K24" s="119"/>
      <c r="L24" s="119"/>
      <c r="M24" s="119"/>
      <c r="N24" s="120"/>
      <c r="O24" s="206"/>
      <c r="P24" s="206"/>
      <c r="Q24" s="207"/>
    </row>
    <row r="25" spans="1:19" s="99" customFormat="1" ht="15" thickBot="1" x14ac:dyDescent="0.4">
      <c r="A25" s="113">
        <v>10900067</v>
      </c>
      <c r="B25" s="114" t="s">
        <v>201</v>
      </c>
      <c r="C25" s="114" t="s">
        <v>202</v>
      </c>
      <c r="D25" s="115">
        <v>2827981.4</v>
      </c>
      <c r="E25" s="114">
        <v>0</v>
      </c>
      <c r="F25" s="114">
        <v>0</v>
      </c>
      <c r="G25" s="114">
        <v>0</v>
      </c>
      <c r="H25" s="115">
        <f>SUM(D25:G25)</f>
        <v>2827981.4</v>
      </c>
      <c r="I25" s="115">
        <v>-1114534</v>
      </c>
      <c r="J25" s="114">
        <v>0</v>
      </c>
      <c r="K25" s="115">
        <v>-141399</v>
      </c>
      <c r="L25" s="115">
        <f>SUM(I25:K25)</f>
        <v>-1255933</v>
      </c>
      <c r="M25" s="115">
        <v>1572048.4</v>
      </c>
      <c r="N25" s="125">
        <v>1713447.4</v>
      </c>
      <c r="O25" s="204">
        <v>5000000</v>
      </c>
      <c r="P25" s="208">
        <f>O25*0.95*10/10</f>
        <v>4750000</v>
      </c>
      <c r="Q25" s="199">
        <f>O25-P25</f>
        <v>250000</v>
      </c>
    </row>
    <row r="26" spans="1:19" s="99" customFormat="1" ht="15" thickBot="1" x14ac:dyDescent="0.4">
      <c r="A26" s="107"/>
      <c r="N26" s="108"/>
      <c r="O26" s="193"/>
      <c r="P26" s="193"/>
      <c r="Q26" s="193"/>
    </row>
    <row r="27" spans="1:19" s="100" customFormat="1" ht="15.5" x14ac:dyDescent="0.35">
      <c r="A27" s="117">
        <v>6</v>
      </c>
      <c r="B27" s="118" t="s">
        <v>20</v>
      </c>
      <c r="C27" s="119"/>
      <c r="D27" s="119"/>
      <c r="E27" s="119"/>
      <c r="F27" s="119"/>
      <c r="G27" s="119"/>
      <c r="H27" s="119"/>
      <c r="I27" s="119"/>
      <c r="J27" s="119"/>
      <c r="K27" s="119"/>
      <c r="L27" s="119"/>
      <c r="M27" s="119"/>
      <c r="N27" s="120"/>
      <c r="O27" s="206"/>
      <c r="P27" s="206"/>
      <c r="Q27" s="207"/>
    </row>
    <row r="28" spans="1:19" s="99" customFormat="1" ht="15" thickBot="1" x14ac:dyDescent="0.4">
      <c r="A28" s="113">
        <v>10600049</v>
      </c>
      <c r="B28" s="114" t="s">
        <v>203</v>
      </c>
      <c r="C28" s="114" t="s">
        <v>204</v>
      </c>
      <c r="D28" s="115">
        <v>4202075</v>
      </c>
      <c r="E28" s="114">
        <v>0</v>
      </c>
      <c r="F28" s="114">
        <v>0</v>
      </c>
      <c r="G28" s="114">
        <v>0</v>
      </c>
      <c r="H28" s="115">
        <f>SUM(D28:G28)</f>
        <v>4202075</v>
      </c>
      <c r="I28" s="115">
        <v>-4044138</v>
      </c>
      <c r="J28" s="114">
        <v>0</v>
      </c>
      <c r="K28" s="115">
        <v>-157936</v>
      </c>
      <c r="L28" s="115">
        <f>SUM(I28:K28)</f>
        <v>-4202074</v>
      </c>
      <c r="M28" s="114">
        <v>1</v>
      </c>
      <c r="N28" s="125">
        <v>157937</v>
      </c>
      <c r="O28" s="208">
        <v>6394462</v>
      </c>
      <c r="P28" s="208">
        <f>O28*0.95*8/20</f>
        <v>2429895.5599999996</v>
      </c>
      <c r="Q28" s="199">
        <f>O28-P28</f>
        <v>3964566.4400000004</v>
      </c>
    </row>
    <row r="29" spans="1:19" s="99" customFormat="1" ht="15" thickBot="1" x14ac:dyDescent="0.4">
      <c r="A29" s="107"/>
      <c r="N29" s="108"/>
      <c r="O29" s="193"/>
      <c r="P29" s="193"/>
      <c r="Q29" s="193"/>
    </row>
    <row r="30" spans="1:19" s="100" customFormat="1" ht="15.5" x14ac:dyDescent="0.35">
      <c r="A30" s="117">
        <v>7</v>
      </c>
      <c r="B30" s="118" t="s">
        <v>22</v>
      </c>
      <c r="C30" s="119"/>
      <c r="D30" s="119"/>
      <c r="E30" s="119"/>
      <c r="F30" s="119"/>
      <c r="G30" s="119"/>
      <c r="H30" s="119"/>
      <c r="I30" s="119"/>
      <c r="J30" s="119"/>
      <c r="K30" s="119"/>
      <c r="L30" s="119"/>
      <c r="M30" s="119"/>
      <c r="N30" s="120"/>
      <c r="O30" s="206"/>
      <c r="P30" s="206"/>
      <c r="Q30" s="207"/>
    </row>
    <row r="31" spans="1:19" s="99" customFormat="1" ht="15" thickBot="1" x14ac:dyDescent="0.4">
      <c r="A31" s="113">
        <v>10300427</v>
      </c>
      <c r="B31" s="114" t="s">
        <v>205</v>
      </c>
      <c r="C31" s="114" t="s">
        <v>206</v>
      </c>
      <c r="D31" s="115">
        <v>35340810.340000004</v>
      </c>
      <c r="E31" s="114">
        <v>0</v>
      </c>
      <c r="F31" s="114">
        <v>0</v>
      </c>
      <c r="G31" s="114">
        <v>0</v>
      </c>
      <c r="H31" s="115">
        <f>SUM(D31:G31)</f>
        <v>35340810.340000004</v>
      </c>
      <c r="I31" s="115">
        <v>-14177635.18</v>
      </c>
      <c r="J31" s="114">
        <v>0</v>
      </c>
      <c r="K31" s="115">
        <v>-3533650</v>
      </c>
      <c r="L31" s="115">
        <f>SUM(I31:K31)</f>
        <v>-17711285.18</v>
      </c>
      <c r="M31" s="115">
        <v>17629525.16</v>
      </c>
      <c r="N31" s="125">
        <v>21163175.16</v>
      </c>
      <c r="O31" s="208">
        <v>41231000</v>
      </c>
      <c r="P31" s="208">
        <f>O31*0.95*5/10</f>
        <v>19584725</v>
      </c>
      <c r="Q31" s="199">
        <f>O31-P31</f>
        <v>21646275</v>
      </c>
      <c r="S31" s="212"/>
    </row>
    <row r="32" spans="1:19" s="99" customFormat="1" ht="15" thickBot="1" x14ac:dyDescent="0.4">
      <c r="A32" s="107"/>
      <c r="N32" s="108"/>
      <c r="O32" s="193"/>
      <c r="P32" s="193"/>
      <c r="Q32" s="193"/>
    </row>
    <row r="33" spans="1:17" s="100" customFormat="1" ht="15.5" x14ac:dyDescent="0.35">
      <c r="A33" s="117">
        <v>8</v>
      </c>
      <c r="B33" s="126" t="s">
        <v>24</v>
      </c>
      <c r="C33" s="119"/>
      <c r="D33" s="119"/>
      <c r="E33" s="119"/>
      <c r="F33" s="119"/>
      <c r="G33" s="119"/>
      <c r="H33" s="119"/>
      <c r="I33" s="119"/>
      <c r="J33" s="119"/>
      <c r="K33" s="119"/>
      <c r="L33" s="119"/>
      <c r="M33" s="119"/>
      <c r="N33" s="120"/>
      <c r="O33" s="206"/>
      <c r="P33" s="206"/>
      <c r="Q33" s="207"/>
    </row>
    <row r="34" spans="1:17" s="99" customFormat="1" ht="15" thickBot="1" x14ac:dyDescent="0.4">
      <c r="A34" s="107">
        <v>11000184</v>
      </c>
      <c r="B34" t="s">
        <v>379</v>
      </c>
      <c r="C34" s="99" t="s">
        <v>216</v>
      </c>
      <c r="D34" s="115">
        <v>57945859.259999998</v>
      </c>
      <c r="E34" s="114">
        <v>0</v>
      </c>
      <c r="F34" s="114">
        <v>0</v>
      </c>
      <c r="G34" s="114">
        <v>0</v>
      </c>
      <c r="H34" s="85">
        <v>13500000</v>
      </c>
      <c r="I34" s="115">
        <f>-22479597+1</f>
        <v>-22479596</v>
      </c>
      <c r="J34" s="114">
        <v>0</v>
      </c>
      <c r="K34" s="115">
        <v>-2897311</v>
      </c>
      <c r="L34" s="101">
        <v>-11137500</v>
      </c>
      <c r="M34" s="101">
        <f>H34+L34</f>
        <v>2362500</v>
      </c>
      <c r="N34" s="101">
        <v>35466262.259999998</v>
      </c>
      <c r="O34" s="101">
        <v>43500000</v>
      </c>
      <c r="P34" s="193">
        <f>O34*0.95</f>
        <v>41325000</v>
      </c>
      <c r="Q34" s="209">
        <f>O34-P34</f>
        <v>2175000</v>
      </c>
    </row>
    <row r="35" spans="1:17" s="99" customFormat="1" x14ac:dyDescent="0.35">
      <c r="A35" s="107">
        <v>10400166</v>
      </c>
      <c r="B35" t="s">
        <v>219</v>
      </c>
      <c r="C35" s="99" t="s">
        <v>220</v>
      </c>
      <c r="D35" s="101"/>
      <c r="H35" s="85">
        <v>13103843</v>
      </c>
      <c r="I35" s="101"/>
      <c r="K35" s="101"/>
      <c r="L35" s="101">
        <v>-10270551</v>
      </c>
      <c r="M35" s="101">
        <f>H35+L35</f>
        <v>2833292</v>
      </c>
      <c r="N35" s="101">
        <v>35466262.259999998</v>
      </c>
      <c r="O35" s="101">
        <v>24500000</v>
      </c>
      <c r="P35" s="193">
        <f>O35*0.95*8/10</f>
        <v>18620000</v>
      </c>
      <c r="Q35" s="209">
        <f>O35-P35</f>
        <v>5880000</v>
      </c>
    </row>
    <row r="36" spans="1:17" s="99" customFormat="1" ht="15" thickBot="1" x14ac:dyDescent="0.4">
      <c r="A36" s="123"/>
      <c r="B36" s="124"/>
      <c r="C36" s="124"/>
      <c r="H36" s="121">
        <f>SUM(H34:H35)</f>
        <v>26603843</v>
      </c>
      <c r="I36" s="121">
        <f>SUM(I27:I30)</f>
        <v>-4044138</v>
      </c>
      <c r="J36" s="121">
        <f>SUM(J27:J30)</f>
        <v>0</v>
      </c>
      <c r="K36" s="121">
        <f>SUM(K27:K30)</f>
        <v>-157936</v>
      </c>
      <c r="L36" s="121">
        <f t="shared" ref="L36:Q36" si="6">SUM(L34:L35)</f>
        <v>-21408051</v>
      </c>
      <c r="M36" s="121">
        <f t="shared" si="6"/>
        <v>5195792</v>
      </c>
      <c r="N36" s="121">
        <f t="shared" si="6"/>
        <v>70932524.519999996</v>
      </c>
      <c r="O36" s="121">
        <f t="shared" si="6"/>
        <v>68000000</v>
      </c>
      <c r="P36" s="121">
        <f t="shared" si="6"/>
        <v>59945000</v>
      </c>
      <c r="Q36" s="121">
        <f t="shared" si="6"/>
        <v>8055000</v>
      </c>
    </row>
    <row r="37" spans="1:17" s="99" customFormat="1" ht="16" thickBot="1" x14ac:dyDescent="0.4">
      <c r="A37" s="112" t="s">
        <v>26</v>
      </c>
      <c r="N37" s="108"/>
      <c r="O37" s="193"/>
      <c r="P37" s="193"/>
      <c r="Q37" s="193"/>
    </row>
    <row r="38" spans="1:17" s="100" customFormat="1" ht="15.5" x14ac:dyDescent="0.35">
      <c r="A38" s="117">
        <v>9</v>
      </c>
      <c r="B38" s="118" t="s">
        <v>27</v>
      </c>
      <c r="C38" s="119"/>
      <c r="D38" s="119"/>
      <c r="E38" s="119"/>
      <c r="F38" s="119"/>
      <c r="G38" s="119"/>
      <c r="H38" s="119"/>
      <c r="I38" s="119"/>
      <c r="J38" s="119"/>
      <c r="K38" s="119"/>
      <c r="L38" s="119"/>
      <c r="M38" s="119"/>
      <c r="N38" s="120"/>
      <c r="O38" s="206"/>
      <c r="P38" s="206">
        <f>P39/O39*100</f>
        <v>52.25</v>
      </c>
      <c r="Q38" s="207"/>
    </row>
    <row r="39" spans="1:17" s="99" customFormat="1" x14ac:dyDescent="0.35">
      <c r="A39" s="107">
        <v>10500025</v>
      </c>
      <c r="B39" s="99" t="s">
        <v>207</v>
      </c>
      <c r="C39" s="99" t="s">
        <v>208</v>
      </c>
      <c r="D39" s="101">
        <v>12251697</v>
      </c>
      <c r="E39" s="99">
        <v>0</v>
      </c>
      <c r="F39" s="99">
        <v>0</v>
      </c>
      <c r="G39" s="99">
        <v>0</v>
      </c>
      <c r="H39" s="101">
        <f>SUM(D39:G39)</f>
        <v>12251697</v>
      </c>
      <c r="I39" s="101">
        <v>-5639139</v>
      </c>
      <c r="J39" s="99">
        <v>0</v>
      </c>
      <c r="K39" s="101">
        <v>-612585</v>
      </c>
      <c r="L39" s="101">
        <f>SUM(I39:K39)</f>
        <v>-6251724</v>
      </c>
      <c r="M39" s="101">
        <v>5999973</v>
      </c>
      <c r="N39" s="109">
        <v>6612558</v>
      </c>
      <c r="O39" s="193">
        <v>6917197</v>
      </c>
      <c r="P39" s="193">
        <f>O39*0.95*11/20</f>
        <v>3614235.4324999996</v>
      </c>
      <c r="Q39" s="209">
        <f>O39-P39</f>
        <v>3302961.5675000004</v>
      </c>
    </row>
    <row r="40" spans="1:17" s="99" customFormat="1" x14ac:dyDescent="0.35">
      <c r="A40" s="107">
        <v>10500025</v>
      </c>
      <c r="B40" s="99" t="s">
        <v>207</v>
      </c>
      <c r="C40" s="99" t="s">
        <v>208</v>
      </c>
      <c r="D40" s="101">
        <v>2850</v>
      </c>
      <c r="E40" s="99">
        <v>0</v>
      </c>
      <c r="F40" s="99">
        <v>0</v>
      </c>
      <c r="G40" s="99">
        <v>0</v>
      </c>
      <c r="H40" s="101">
        <f>SUM(D40:G40)</f>
        <v>2850</v>
      </c>
      <c r="I40" s="101">
        <v>-1225</v>
      </c>
      <c r="J40" s="99">
        <v>0</v>
      </c>
      <c r="K40" s="99">
        <v>-150</v>
      </c>
      <c r="L40" s="101">
        <f>SUM(I40:K40)</f>
        <v>-1375</v>
      </c>
      <c r="M40" s="101">
        <v>1475</v>
      </c>
      <c r="N40" s="109">
        <v>1625</v>
      </c>
      <c r="O40" s="193">
        <v>6917197</v>
      </c>
      <c r="P40" s="193">
        <f>O40*0.95*11/20</f>
        <v>3614235.4324999996</v>
      </c>
      <c r="Q40" s="209">
        <f>O40-P40</f>
        <v>3302961.5675000004</v>
      </c>
    </row>
    <row r="41" spans="1:17" s="99" customFormat="1" ht="15" thickBot="1" x14ac:dyDescent="0.4">
      <c r="A41" s="113"/>
      <c r="B41" s="114"/>
      <c r="C41" s="114"/>
      <c r="D41" s="121">
        <f>SUM(D39:D40)</f>
        <v>12254547</v>
      </c>
      <c r="E41" s="121">
        <f t="shared" ref="E41:Q41" si="7">SUM(E39:E40)</f>
        <v>0</v>
      </c>
      <c r="F41" s="121">
        <f t="shared" si="7"/>
        <v>0</v>
      </c>
      <c r="G41" s="121">
        <f t="shared" si="7"/>
        <v>0</v>
      </c>
      <c r="H41" s="121">
        <f t="shared" si="7"/>
        <v>12254547</v>
      </c>
      <c r="I41" s="121">
        <f t="shared" si="7"/>
        <v>-5640364</v>
      </c>
      <c r="J41" s="121">
        <f t="shared" si="7"/>
        <v>0</v>
      </c>
      <c r="K41" s="121">
        <f t="shared" si="7"/>
        <v>-612735</v>
      </c>
      <c r="L41" s="121">
        <f t="shared" si="7"/>
        <v>-6253099</v>
      </c>
      <c r="M41" s="121">
        <f t="shared" si="7"/>
        <v>6001448</v>
      </c>
      <c r="N41" s="122">
        <f t="shared" si="7"/>
        <v>6614183</v>
      </c>
      <c r="O41" s="121">
        <f t="shared" si="7"/>
        <v>13834394</v>
      </c>
      <c r="P41" s="121">
        <f t="shared" si="7"/>
        <v>7228470.8649999993</v>
      </c>
      <c r="Q41" s="122">
        <f t="shared" si="7"/>
        <v>6605923.1350000007</v>
      </c>
    </row>
    <row r="42" spans="1:17" s="99" customFormat="1" ht="15" thickBot="1" x14ac:dyDescent="0.4">
      <c r="A42" s="107"/>
      <c r="N42" s="108"/>
      <c r="O42" s="193"/>
      <c r="P42" s="193"/>
      <c r="Q42" s="193"/>
    </row>
    <row r="43" spans="1:17" s="100" customFormat="1" ht="15.5" x14ac:dyDescent="0.35">
      <c r="A43" s="117">
        <v>10</v>
      </c>
      <c r="B43" s="118" t="s">
        <v>28</v>
      </c>
      <c r="C43" s="119"/>
      <c r="D43" s="119"/>
      <c r="E43" s="119"/>
      <c r="F43" s="119"/>
      <c r="G43" s="119"/>
      <c r="H43" s="119"/>
      <c r="I43" s="119"/>
      <c r="J43" s="119"/>
      <c r="K43" s="119"/>
      <c r="L43" s="119"/>
      <c r="M43" s="119"/>
      <c r="N43" s="120"/>
      <c r="O43" s="206"/>
      <c r="P43" s="206"/>
      <c r="Q43" s="207"/>
    </row>
    <row r="44" spans="1:17" s="99" customFormat="1" ht="15" thickBot="1" x14ac:dyDescent="0.4">
      <c r="A44" s="113">
        <v>10500026</v>
      </c>
      <c r="B44" s="114" t="s">
        <v>209</v>
      </c>
      <c r="C44" s="114" t="s">
        <v>208</v>
      </c>
      <c r="D44" s="115">
        <v>2577417</v>
      </c>
      <c r="E44" s="114">
        <v>0</v>
      </c>
      <c r="F44" s="114">
        <v>0</v>
      </c>
      <c r="G44" s="114">
        <v>0</v>
      </c>
      <c r="H44" s="115">
        <f>SUM(D44:G44)</f>
        <v>2577417</v>
      </c>
      <c r="I44" s="115">
        <v>-1186257</v>
      </c>
      <c r="J44" s="114">
        <v>0</v>
      </c>
      <c r="K44" s="115">
        <v>-128877</v>
      </c>
      <c r="L44" s="115">
        <f>SUM(I44:K44)</f>
        <v>-1315134</v>
      </c>
      <c r="M44" s="115">
        <v>1262283</v>
      </c>
      <c r="N44" s="125">
        <v>1391160</v>
      </c>
      <c r="O44" s="204">
        <v>2900000</v>
      </c>
      <c r="P44" s="208">
        <f>O44*0.95*11/20</f>
        <v>1515250</v>
      </c>
      <c r="Q44" s="199">
        <f>O44-P44</f>
        <v>1384750</v>
      </c>
    </row>
    <row r="45" spans="1:17" s="99" customFormat="1" ht="15" thickBot="1" x14ac:dyDescent="0.4">
      <c r="A45" s="107"/>
      <c r="N45" s="108"/>
      <c r="O45" s="193"/>
      <c r="P45" s="193"/>
      <c r="Q45" s="193"/>
    </row>
    <row r="46" spans="1:17" s="100" customFormat="1" ht="15.5" x14ac:dyDescent="0.35">
      <c r="A46" s="117">
        <v>11</v>
      </c>
      <c r="B46" s="118" t="s">
        <v>30</v>
      </c>
      <c r="C46" s="119"/>
      <c r="D46" s="119"/>
      <c r="E46" s="119"/>
      <c r="F46" s="119"/>
      <c r="G46" s="119"/>
      <c r="H46" s="119"/>
      <c r="I46" s="119"/>
      <c r="J46" s="119"/>
      <c r="K46" s="119"/>
      <c r="L46" s="119"/>
      <c r="M46" s="119"/>
      <c r="N46" s="120"/>
      <c r="O46" s="206"/>
      <c r="P46" s="206"/>
      <c r="Q46" s="207"/>
    </row>
    <row r="47" spans="1:17" s="99" customFormat="1" ht="15" thickBot="1" x14ac:dyDescent="0.4">
      <c r="A47" s="113">
        <v>10500027</v>
      </c>
      <c r="B47" s="114" t="s">
        <v>210</v>
      </c>
      <c r="C47" s="114" t="s">
        <v>211</v>
      </c>
      <c r="D47" s="115">
        <v>405113094</v>
      </c>
      <c r="E47" s="114">
        <v>0</v>
      </c>
      <c r="F47" s="114">
        <v>0</v>
      </c>
      <c r="G47" s="114">
        <v>0</v>
      </c>
      <c r="H47" s="115">
        <f>SUM(D47:G47)</f>
        <v>405113094</v>
      </c>
      <c r="I47" s="115">
        <v>-179461657</v>
      </c>
      <c r="J47" s="114">
        <v>0</v>
      </c>
      <c r="K47" s="115">
        <v>-20256462</v>
      </c>
      <c r="L47" s="115">
        <f>SUM(I47:K47)</f>
        <v>-199718119</v>
      </c>
      <c r="M47" s="115">
        <v>205394975</v>
      </c>
      <c r="N47" s="125">
        <v>225651437</v>
      </c>
      <c r="O47" s="208">
        <v>450000000</v>
      </c>
      <c r="P47" s="208">
        <f>O47*0.95*10/20</f>
        <v>213750000</v>
      </c>
      <c r="Q47" s="199">
        <f>O47-P47</f>
        <v>236250000</v>
      </c>
    </row>
    <row r="48" spans="1:17" s="99" customFormat="1" ht="15" thickBot="1" x14ac:dyDescent="0.4">
      <c r="A48" s="107"/>
      <c r="N48" s="108"/>
      <c r="O48" s="193"/>
      <c r="P48" s="193"/>
      <c r="Q48" s="193"/>
    </row>
    <row r="49" spans="1:17" s="100" customFormat="1" ht="15.5" x14ac:dyDescent="0.35">
      <c r="A49" s="117">
        <v>12</v>
      </c>
      <c r="B49" s="118" t="s">
        <v>32</v>
      </c>
      <c r="C49" s="119"/>
      <c r="D49" s="119"/>
      <c r="E49" s="119"/>
      <c r="F49" s="119"/>
      <c r="G49" s="119"/>
      <c r="H49" s="119"/>
      <c r="I49" s="119"/>
      <c r="J49" s="119"/>
      <c r="K49" s="119"/>
      <c r="L49" s="119"/>
      <c r="M49" s="119"/>
      <c r="N49" s="120"/>
      <c r="O49" s="206"/>
      <c r="P49" s="206"/>
      <c r="Q49" s="207"/>
    </row>
    <row r="50" spans="1:17" s="99" customFormat="1" ht="15" thickBot="1" x14ac:dyDescent="0.4">
      <c r="A50" s="113">
        <v>10500028</v>
      </c>
      <c r="B50" s="114" t="s">
        <v>212</v>
      </c>
      <c r="C50" s="114" t="s">
        <v>211</v>
      </c>
      <c r="D50" s="115">
        <v>405113094.41000003</v>
      </c>
      <c r="E50" s="114">
        <v>0</v>
      </c>
      <c r="F50" s="114">
        <v>0</v>
      </c>
      <c r="G50" s="114">
        <v>0</v>
      </c>
      <c r="H50" s="115">
        <f>SUM(D50:G50)</f>
        <v>405113094.41000003</v>
      </c>
      <c r="I50" s="115">
        <v>-174083349</v>
      </c>
      <c r="J50" s="114">
        <v>0</v>
      </c>
      <c r="K50" s="115">
        <v>-20256031</v>
      </c>
      <c r="L50" s="115">
        <f>SUM(I50:K50)</f>
        <v>-194339380</v>
      </c>
      <c r="M50" s="115">
        <v>210773714</v>
      </c>
      <c r="N50" s="125">
        <v>231029745</v>
      </c>
      <c r="O50" s="208">
        <v>450000000</v>
      </c>
      <c r="P50" s="208">
        <f>O50*0.95*10/20</f>
        <v>213750000</v>
      </c>
      <c r="Q50" s="199">
        <f>O50-P50</f>
        <v>236250000</v>
      </c>
    </row>
    <row r="51" spans="1:17" s="99" customFormat="1" ht="15" thickBot="1" x14ac:dyDescent="0.4">
      <c r="A51" s="107"/>
      <c r="N51" s="108"/>
      <c r="O51" s="193"/>
      <c r="P51" s="193"/>
      <c r="Q51" s="193"/>
    </row>
    <row r="52" spans="1:17" s="100" customFormat="1" ht="15.5" x14ac:dyDescent="0.35">
      <c r="A52" s="117">
        <v>13</v>
      </c>
      <c r="B52" s="118" t="s">
        <v>33</v>
      </c>
      <c r="C52" s="119"/>
      <c r="D52" s="119"/>
      <c r="E52" s="119"/>
      <c r="F52" s="119"/>
      <c r="G52" s="119"/>
      <c r="H52" s="119"/>
      <c r="I52" s="119"/>
      <c r="J52" s="119"/>
      <c r="K52" s="119"/>
      <c r="L52" s="119"/>
      <c r="M52" s="119"/>
      <c r="N52" s="120"/>
      <c r="O52" s="206"/>
      <c r="P52" s="206"/>
      <c r="Q52" s="207"/>
    </row>
    <row r="53" spans="1:17" s="99" customFormat="1" ht="15" thickBot="1" x14ac:dyDescent="0.4">
      <c r="A53" s="113">
        <v>10500022</v>
      </c>
      <c r="B53" s="114" t="s">
        <v>213</v>
      </c>
      <c r="C53" s="114" t="s">
        <v>214</v>
      </c>
      <c r="D53" s="115">
        <v>146364554</v>
      </c>
      <c r="E53" s="114">
        <v>0</v>
      </c>
      <c r="F53" s="114">
        <v>0</v>
      </c>
      <c r="G53" s="114">
        <v>0</v>
      </c>
      <c r="H53" s="115">
        <f>SUM(D53:G53)</f>
        <v>146364554</v>
      </c>
      <c r="I53" s="115">
        <v>-146364553</v>
      </c>
      <c r="J53" s="114">
        <v>0</v>
      </c>
      <c r="K53" s="114">
        <v>0</v>
      </c>
      <c r="L53" s="115">
        <f>SUM(I53:K53)</f>
        <v>-146364553</v>
      </c>
      <c r="M53" s="114">
        <v>1</v>
      </c>
      <c r="N53" s="116">
        <v>1</v>
      </c>
      <c r="O53" s="208">
        <v>20000000</v>
      </c>
      <c r="P53" s="208">
        <v>13300000</v>
      </c>
      <c r="Q53" s="199">
        <v>6700000</v>
      </c>
    </row>
    <row r="54" spans="1:17" s="99" customFormat="1" x14ac:dyDescent="0.35">
      <c r="O54" s="193"/>
      <c r="P54" s="193"/>
      <c r="Q54" s="193"/>
    </row>
    <row r="55" spans="1:17" s="99" customFormat="1" x14ac:dyDescent="0.35">
      <c r="O55" s="193"/>
      <c r="P55" s="193"/>
      <c r="Q55" s="193"/>
    </row>
    <row r="56" spans="1:17" s="99" customFormat="1" ht="19.5" x14ac:dyDescent="0.35">
      <c r="A56" s="671" t="s">
        <v>34</v>
      </c>
      <c r="B56" s="671"/>
      <c r="O56" s="193"/>
      <c r="P56" s="193"/>
      <c r="Q56" s="193"/>
    </row>
    <row r="57" spans="1:17" s="99" customFormat="1" ht="16" thickBot="1" x14ac:dyDescent="0.4">
      <c r="A57" s="112" t="s">
        <v>35</v>
      </c>
      <c r="B57" s="92"/>
      <c r="N57" s="108"/>
      <c r="O57" s="193"/>
      <c r="P57" s="193"/>
      <c r="Q57" s="193"/>
    </row>
    <row r="58" spans="1:17" s="100" customFormat="1" ht="15.5" x14ac:dyDescent="0.35">
      <c r="A58" s="117">
        <v>1</v>
      </c>
      <c r="B58" s="118" t="s">
        <v>36</v>
      </c>
      <c r="C58" s="119"/>
      <c r="D58" s="119"/>
      <c r="E58" s="119"/>
      <c r="F58" s="119"/>
      <c r="G58" s="119"/>
      <c r="H58" s="119"/>
      <c r="I58" s="119"/>
      <c r="J58" s="119"/>
      <c r="K58" s="119"/>
      <c r="L58" s="119"/>
      <c r="M58" s="119"/>
      <c r="N58" s="120"/>
      <c r="O58" s="206"/>
      <c r="P58" s="206"/>
      <c r="Q58" s="207"/>
    </row>
    <row r="59" spans="1:17" s="99" customFormat="1" x14ac:dyDescent="0.35">
      <c r="A59" s="107">
        <v>10400061</v>
      </c>
      <c r="B59" s="99" t="s">
        <v>215</v>
      </c>
      <c r="C59" s="99" t="s">
        <v>216</v>
      </c>
      <c r="D59" s="101">
        <v>82479426</v>
      </c>
      <c r="E59" s="99">
        <v>0</v>
      </c>
      <c r="F59" s="99">
        <v>0</v>
      </c>
      <c r="G59" s="99">
        <v>0</v>
      </c>
      <c r="H59" s="101">
        <f>SUM(D59:G59)</f>
        <v>82479426</v>
      </c>
      <c r="I59" s="101">
        <v>-34409911</v>
      </c>
      <c r="J59" s="99">
        <v>0</v>
      </c>
      <c r="K59" s="101">
        <v>-1117896</v>
      </c>
      <c r="L59" s="101">
        <f>SUM(I59:K59)</f>
        <v>-35527807</v>
      </c>
      <c r="M59" s="101">
        <v>46951619</v>
      </c>
      <c r="N59" s="109">
        <v>48069515</v>
      </c>
      <c r="O59" s="193">
        <v>692238040</v>
      </c>
      <c r="P59" s="193">
        <v>542541564</v>
      </c>
      <c r="Q59" s="209">
        <v>149696476</v>
      </c>
    </row>
    <row r="60" spans="1:17" s="99" customFormat="1" x14ac:dyDescent="0.35">
      <c r="A60" s="107">
        <v>10400165</v>
      </c>
      <c r="B60" s="99" t="s">
        <v>217</v>
      </c>
      <c r="C60" s="99" t="s">
        <v>218</v>
      </c>
      <c r="D60" s="101">
        <v>14210891.300000001</v>
      </c>
      <c r="E60" s="99">
        <v>0</v>
      </c>
      <c r="F60" s="99">
        <v>0</v>
      </c>
      <c r="G60" s="99">
        <v>0</v>
      </c>
      <c r="H60" s="101">
        <f>SUM(D60:G60)</f>
        <v>14210891.300000001</v>
      </c>
      <c r="I60" s="101">
        <v>-8658768</v>
      </c>
      <c r="J60" s="99">
        <v>0</v>
      </c>
      <c r="K60" s="101">
        <v>-1421126</v>
      </c>
      <c r="L60" s="101">
        <f>SUM(I60:K60)</f>
        <v>-10079894</v>
      </c>
      <c r="M60" s="101">
        <v>4130997.3</v>
      </c>
      <c r="N60" s="109">
        <v>5552123.2999999998</v>
      </c>
      <c r="O60" s="193">
        <v>21625269</v>
      </c>
      <c r="P60" s="193">
        <v>3595201</v>
      </c>
      <c r="Q60" s="209">
        <v>18030068</v>
      </c>
    </row>
    <row r="61" spans="1:17" s="99" customFormat="1" x14ac:dyDescent="0.35">
      <c r="A61" s="107">
        <v>10400166</v>
      </c>
      <c r="B61" s="99" t="s">
        <v>219</v>
      </c>
      <c r="C61" s="99" t="s">
        <v>220</v>
      </c>
      <c r="D61" s="101">
        <v>13103843.77</v>
      </c>
      <c r="E61" s="99">
        <v>0</v>
      </c>
      <c r="F61" s="99">
        <v>0</v>
      </c>
      <c r="G61" s="99">
        <v>0</v>
      </c>
      <c r="H61" s="101">
        <f>SUM(D61:G61)</f>
        <v>13103843.77</v>
      </c>
      <c r="I61" s="101">
        <v>-8959839</v>
      </c>
      <c r="J61" s="99">
        <v>0</v>
      </c>
      <c r="K61" s="101">
        <v>-1310712</v>
      </c>
      <c r="L61" s="101">
        <f>SUM(I61:K61)</f>
        <v>-10270551</v>
      </c>
      <c r="M61" s="101">
        <v>2833292.77</v>
      </c>
      <c r="N61" s="109">
        <v>4144004.77</v>
      </c>
      <c r="O61" s="193">
        <v>21970517</v>
      </c>
      <c r="P61" s="193">
        <v>4174398</v>
      </c>
      <c r="Q61" s="209">
        <v>17796118</v>
      </c>
    </row>
    <row r="62" spans="1:17" s="99" customFormat="1" x14ac:dyDescent="0.35">
      <c r="A62" s="107">
        <v>10400166</v>
      </c>
      <c r="B62" s="99" t="s">
        <v>219</v>
      </c>
      <c r="C62" s="99" t="s">
        <v>221</v>
      </c>
      <c r="D62" s="101">
        <v>315000</v>
      </c>
      <c r="E62" s="99">
        <v>0</v>
      </c>
      <c r="F62" s="99">
        <v>0</v>
      </c>
      <c r="G62" s="99">
        <v>0</v>
      </c>
      <c r="H62" s="101">
        <f>SUM(D62:G62)</f>
        <v>315000</v>
      </c>
      <c r="I62" s="101">
        <v>-145215</v>
      </c>
      <c r="J62" s="99">
        <v>0</v>
      </c>
      <c r="K62" s="101">
        <v>-40215</v>
      </c>
      <c r="L62" s="101">
        <f>SUM(I62:K62)</f>
        <v>-185430</v>
      </c>
      <c r="M62" s="101">
        <v>129570</v>
      </c>
      <c r="N62" s="109">
        <v>169785</v>
      </c>
      <c r="O62" s="193">
        <v>400909</v>
      </c>
      <c r="P62" s="193">
        <v>47608</v>
      </c>
      <c r="Q62" s="209">
        <v>353301</v>
      </c>
    </row>
    <row r="63" spans="1:17" s="99" customFormat="1" ht="15" thickBot="1" x14ac:dyDescent="0.4">
      <c r="A63" s="113"/>
      <c r="B63" s="114"/>
      <c r="C63" s="114"/>
      <c r="D63" s="121">
        <f>SUM(D59:D62)</f>
        <v>110109161.06999999</v>
      </c>
      <c r="E63" s="121">
        <f t="shared" ref="E63:Q63" si="8">SUM(E59:E62)</f>
        <v>0</v>
      </c>
      <c r="F63" s="121">
        <f t="shared" si="8"/>
        <v>0</v>
      </c>
      <c r="G63" s="121">
        <f t="shared" si="8"/>
        <v>0</v>
      </c>
      <c r="H63" s="121">
        <f t="shared" si="8"/>
        <v>110109161.06999999</v>
      </c>
      <c r="I63" s="121">
        <f t="shared" si="8"/>
        <v>-52173733</v>
      </c>
      <c r="J63" s="121">
        <f t="shared" si="8"/>
        <v>0</v>
      </c>
      <c r="K63" s="121">
        <f t="shared" si="8"/>
        <v>-3889949</v>
      </c>
      <c r="L63" s="121">
        <f t="shared" si="8"/>
        <v>-56063682</v>
      </c>
      <c r="M63" s="121">
        <f t="shared" si="8"/>
        <v>54045479.07</v>
      </c>
      <c r="N63" s="122">
        <f t="shared" si="8"/>
        <v>57935428.07</v>
      </c>
      <c r="O63" s="121">
        <f t="shared" si="8"/>
        <v>736234735</v>
      </c>
      <c r="P63" s="121">
        <f t="shared" si="8"/>
        <v>550358771</v>
      </c>
      <c r="Q63" s="122">
        <f t="shared" si="8"/>
        <v>185875963</v>
      </c>
    </row>
    <row r="64" spans="1:17" s="99" customFormat="1" x14ac:dyDescent="0.35">
      <c r="D64" s="102"/>
      <c r="E64" s="102"/>
      <c r="F64" s="102"/>
      <c r="G64" s="102"/>
      <c r="H64" s="102"/>
      <c r="I64" s="102"/>
      <c r="J64" s="102"/>
      <c r="K64" s="102"/>
      <c r="L64" s="102"/>
      <c r="M64" s="102"/>
      <c r="N64" s="102"/>
      <c r="O64" s="193"/>
      <c r="P64" s="193"/>
      <c r="Q64" s="193"/>
    </row>
    <row r="65" spans="1:256" s="99" customFormat="1" ht="9" customHeight="1" x14ac:dyDescent="0.35">
      <c r="D65" s="102"/>
      <c r="E65" s="102"/>
      <c r="F65" s="102"/>
      <c r="G65" s="102"/>
      <c r="H65" s="102"/>
      <c r="I65" s="102"/>
      <c r="J65" s="102"/>
      <c r="K65" s="102"/>
      <c r="L65" s="102"/>
      <c r="M65" s="102"/>
      <c r="N65" s="102"/>
      <c r="O65" s="193"/>
      <c r="P65" s="193"/>
      <c r="Q65" s="193"/>
    </row>
    <row r="66" spans="1:256" s="99" customFormat="1" ht="19.5" x14ac:dyDescent="0.35">
      <c r="A66" s="676" t="s">
        <v>38</v>
      </c>
      <c r="B66" s="676"/>
      <c r="O66" s="193"/>
      <c r="P66" s="193"/>
      <c r="Q66" s="193"/>
    </row>
    <row r="67" spans="1:256" s="99" customFormat="1" ht="15.5" x14ac:dyDescent="0.35">
      <c r="A67" s="96" t="s">
        <v>39</v>
      </c>
      <c r="B67" s="98"/>
      <c r="O67" s="193"/>
      <c r="P67" s="193"/>
      <c r="Q67" s="193"/>
    </row>
    <row r="68" spans="1:256" s="99" customFormat="1" ht="16" thickBot="1" x14ac:dyDescent="0.4">
      <c r="A68" s="96" t="s">
        <v>40</v>
      </c>
      <c r="B68" s="163"/>
      <c r="O68" s="193"/>
      <c r="P68" s="193"/>
      <c r="Q68" s="193"/>
    </row>
    <row r="69" spans="1:256" s="100" customFormat="1" ht="31" x14ac:dyDescent="0.35">
      <c r="A69" s="152">
        <v>1</v>
      </c>
      <c r="B69" s="164" t="s">
        <v>281</v>
      </c>
      <c r="C69" s="119"/>
      <c r="D69" s="119"/>
      <c r="E69" s="119"/>
      <c r="F69" s="119"/>
      <c r="G69" s="119"/>
      <c r="H69" s="119"/>
      <c r="I69" s="119"/>
      <c r="J69" s="119"/>
      <c r="K69" s="119"/>
      <c r="L69" s="119"/>
      <c r="M69" s="119"/>
      <c r="N69" s="120"/>
      <c r="O69" s="206"/>
      <c r="P69" s="206"/>
      <c r="Q69" s="207"/>
    </row>
    <row r="70" spans="1:256" s="99" customFormat="1" x14ac:dyDescent="0.35">
      <c r="A70" s="154">
        <v>10300035</v>
      </c>
      <c r="B70" s="90" t="s">
        <v>278</v>
      </c>
      <c r="C70" s="90" t="s">
        <v>279</v>
      </c>
      <c r="D70" s="91">
        <v>738266</v>
      </c>
      <c r="E70" s="90">
        <v>0</v>
      </c>
      <c r="F70" s="90">
        <v>0</v>
      </c>
      <c r="G70" s="90">
        <v>0</v>
      </c>
      <c r="H70" s="91">
        <v>738266</v>
      </c>
      <c r="I70" s="91">
        <v>-738265</v>
      </c>
      <c r="J70" s="90">
        <v>0</v>
      </c>
      <c r="K70" s="90">
        <v>0</v>
      </c>
      <c r="L70" s="91">
        <v>-738265</v>
      </c>
      <c r="M70" s="90">
        <v>1</v>
      </c>
      <c r="N70" s="165">
        <v>1</v>
      </c>
      <c r="O70" s="72">
        <v>37000</v>
      </c>
      <c r="P70" s="72">
        <v>0</v>
      </c>
      <c r="Q70" s="198">
        <v>37000</v>
      </c>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row>
    <row r="71" spans="1:256" s="99" customFormat="1" x14ac:dyDescent="0.35">
      <c r="A71" s="154">
        <v>10300037</v>
      </c>
      <c r="B71" s="90" t="s">
        <v>280</v>
      </c>
      <c r="C71" s="90" t="s">
        <v>279</v>
      </c>
      <c r="D71" s="91">
        <v>174842</v>
      </c>
      <c r="E71" s="90">
        <v>0</v>
      </c>
      <c r="F71" s="90">
        <v>0</v>
      </c>
      <c r="G71" s="90">
        <v>0</v>
      </c>
      <c r="H71" s="91">
        <v>174842</v>
      </c>
      <c r="I71" s="91">
        <v>-174841</v>
      </c>
      <c r="J71" s="90">
        <v>0</v>
      </c>
      <c r="K71" s="90">
        <v>0</v>
      </c>
      <c r="L71" s="91">
        <v>-174841</v>
      </c>
      <c r="M71" s="90">
        <v>1</v>
      </c>
      <c r="N71" s="165">
        <v>1</v>
      </c>
      <c r="O71" s="72">
        <v>9000</v>
      </c>
      <c r="P71" s="72">
        <v>0</v>
      </c>
      <c r="Q71" s="198">
        <v>9000</v>
      </c>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row>
    <row r="72" spans="1:256" s="99" customFormat="1" x14ac:dyDescent="0.35">
      <c r="A72" s="154">
        <v>10300038</v>
      </c>
      <c r="B72" s="90" t="s">
        <v>280</v>
      </c>
      <c r="C72" s="90" t="s">
        <v>279</v>
      </c>
      <c r="D72" s="91">
        <v>285498</v>
      </c>
      <c r="E72" s="90">
        <v>0</v>
      </c>
      <c r="F72" s="90">
        <v>0</v>
      </c>
      <c r="G72" s="90">
        <v>0</v>
      </c>
      <c r="H72" s="91">
        <v>285498</v>
      </c>
      <c r="I72" s="91">
        <v>-285497</v>
      </c>
      <c r="J72" s="90">
        <v>0</v>
      </c>
      <c r="K72" s="90">
        <v>0</v>
      </c>
      <c r="L72" s="91">
        <v>-285497</v>
      </c>
      <c r="M72" s="90">
        <v>1</v>
      </c>
      <c r="N72" s="165">
        <v>1</v>
      </c>
      <c r="O72" s="72">
        <v>14000</v>
      </c>
      <c r="P72" s="72">
        <v>0</v>
      </c>
      <c r="Q72" s="198">
        <v>14000</v>
      </c>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row>
    <row r="73" spans="1:256" s="100" customFormat="1" ht="20" thickBot="1" x14ac:dyDescent="0.4">
      <c r="A73" s="166"/>
      <c r="B73" s="124"/>
      <c r="C73" s="124"/>
      <c r="D73" s="121">
        <f>SUM(D70:D72)</f>
        <v>1198606</v>
      </c>
      <c r="E73" s="121">
        <f t="shared" ref="E73:N73" si="9">SUM(E70:E72)</f>
        <v>0</v>
      </c>
      <c r="F73" s="121">
        <f t="shared" si="9"/>
        <v>0</v>
      </c>
      <c r="G73" s="121">
        <f t="shared" si="9"/>
        <v>0</v>
      </c>
      <c r="H73" s="121">
        <f t="shared" si="9"/>
        <v>1198606</v>
      </c>
      <c r="I73" s="121">
        <f t="shared" si="9"/>
        <v>-1198603</v>
      </c>
      <c r="J73" s="121">
        <f t="shared" si="9"/>
        <v>0</v>
      </c>
      <c r="K73" s="121">
        <f t="shared" si="9"/>
        <v>0</v>
      </c>
      <c r="L73" s="121">
        <f t="shared" si="9"/>
        <v>-1198603</v>
      </c>
      <c r="M73" s="121">
        <f t="shared" si="9"/>
        <v>3</v>
      </c>
      <c r="N73" s="122">
        <f t="shared" si="9"/>
        <v>3</v>
      </c>
      <c r="O73" s="121">
        <f>SUM(O70:O72)</f>
        <v>60000</v>
      </c>
      <c r="P73" s="121">
        <f>SUM(P70:P72)</f>
        <v>0</v>
      </c>
      <c r="Q73" s="122">
        <f>SUM(Q70:Q72)</f>
        <v>60000</v>
      </c>
    </row>
    <row r="74" spans="1:256" s="99" customFormat="1" ht="20" thickBot="1" x14ac:dyDescent="0.4">
      <c r="A74" s="97"/>
      <c r="O74" s="193"/>
      <c r="P74" s="193"/>
      <c r="Q74" s="193"/>
    </row>
    <row r="75" spans="1:256" s="99" customFormat="1" ht="31" x14ac:dyDescent="0.35">
      <c r="A75" s="152">
        <v>2</v>
      </c>
      <c r="B75" s="164" t="s">
        <v>295</v>
      </c>
      <c r="C75" s="103"/>
      <c r="D75" s="103"/>
      <c r="E75" s="103"/>
      <c r="F75" s="103"/>
      <c r="G75" s="103"/>
      <c r="H75" s="103"/>
      <c r="I75" s="103"/>
      <c r="J75" s="103"/>
      <c r="K75" s="103"/>
      <c r="L75" s="103"/>
      <c r="M75" s="103"/>
      <c r="N75" s="104"/>
      <c r="O75" s="202"/>
      <c r="P75" s="202"/>
      <c r="Q75" s="195"/>
    </row>
    <row r="76" spans="1:256" s="99" customFormat="1" x14ac:dyDescent="0.35">
      <c r="A76" s="154">
        <v>10300036</v>
      </c>
      <c r="B76" s="90" t="s">
        <v>284</v>
      </c>
      <c r="C76" s="90" t="s">
        <v>285</v>
      </c>
      <c r="D76" s="91">
        <v>2577200</v>
      </c>
      <c r="E76" s="90">
        <v>0</v>
      </c>
      <c r="F76" s="90">
        <v>0</v>
      </c>
      <c r="G76" s="90">
        <v>0</v>
      </c>
      <c r="H76" s="91">
        <v>2577200</v>
      </c>
      <c r="I76" s="91">
        <v>-2577199</v>
      </c>
      <c r="J76" s="90">
        <v>0</v>
      </c>
      <c r="K76" s="90">
        <v>0</v>
      </c>
      <c r="L76" s="91">
        <v>-2577199</v>
      </c>
      <c r="M76" s="90">
        <v>1</v>
      </c>
      <c r="N76" s="165">
        <v>1</v>
      </c>
      <c r="O76" s="72">
        <v>30282000</v>
      </c>
      <c r="P76" s="72">
        <v>25891110</v>
      </c>
      <c r="Q76" s="198">
        <v>4390890</v>
      </c>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row>
    <row r="77" spans="1:256" s="99" customFormat="1" x14ac:dyDescent="0.35">
      <c r="A77" s="154">
        <v>10300060</v>
      </c>
      <c r="B77" s="90" t="s">
        <v>286</v>
      </c>
      <c r="C77" s="90" t="s">
        <v>279</v>
      </c>
      <c r="D77" s="91">
        <v>53194</v>
      </c>
      <c r="E77" s="90">
        <v>0</v>
      </c>
      <c r="F77" s="90">
        <v>0</v>
      </c>
      <c r="G77" s="90">
        <v>0</v>
      </c>
      <c r="H77" s="91">
        <v>53194</v>
      </c>
      <c r="I77" s="91">
        <v>-53194</v>
      </c>
      <c r="J77" s="90">
        <v>0</v>
      </c>
      <c r="K77" s="90">
        <v>0</v>
      </c>
      <c r="L77" s="91">
        <v>-53194</v>
      </c>
      <c r="M77" s="90">
        <v>0</v>
      </c>
      <c r="N77" s="165">
        <v>0</v>
      </c>
      <c r="O77" s="72">
        <v>3000</v>
      </c>
      <c r="P77" s="72">
        <v>0</v>
      </c>
      <c r="Q77" s="198">
        <v>3000</v>
      </c>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row>
    <row r="78" spans="1:256" s="99" customFormat="1" x14ac:dyDescent="0.35">
      <c r="A78" s="154">
        <v>10300191</v>
      </c>
      <c r="B78" s="90" t="s">
        <v>287</v>
      </c>
      <c r="C78" s="90" t="s">
        <v>288</v>
      </c>
      <c r="D78" s="91">
        <v>2423675</v>
      </c>
      <c r="E78" s="90">
        <v>0</v>
      </c>
      <c r="F78" s="90">
        <v>0</v>
      </c>
      <c r="G78" s="90">
        <v>0</v>
      </c>
      <c r="H78" s="91">
        <v>2423675</v>
      </c>
      <c r="I78" s="91">
        <v>-1551155</v>
      </c>
      <c r="J78" s="90">
        <v>0</v>
      </c>
      <c r="K78" s="91">
        <v>-48473</v>
      </c>
      <c r="L78" s="91">
        <v>-1599628</v>
      </c>
      <c r="M78" s="91">
        <v>824047</v>
      </c>
      <c r="N78" s="155">
        <v>872520</v>
      </c>
      <c r="O78" s="72">
        <v>20342000</v>
      </c>
      <c r="P78" s="72">
        <v>12754434</v>
      </c>
      <c r="Q78" s="198">
        <v>7587566</v>
      </c>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row>
    <row r="79" spans="1:256" s="99" customFormat="1" x14ac:dyDescent="0.35">
      <c r="A79" s="154">
        <v>10300204</v>
      </c>
      <c r="B79" s="90" t="s">
        <v>289</v>
      </c>
      <c r="C79" s="90" t="s">
        <v>288</v>
      </c>
      <c r="D79" s="91">
        <v>811819</v>
      </c>
      <c r="E79" s="90">
        <v>0</v>
      </c>
      <c r="F79" s="90">
        <v>0</v>
      </c>
      <c r="G79" s="90">
        <v>0</v>
      </c>
      <c r="H79" s="91">
        <v>811819</v>
      </c>
      <c r="I79" s="91">
        <v>-649460</v>
      </c>
      <c r="J79" s="90">
        <v>0</v>
      </c>
      <c r="K79" s="91">
        <v>-20295</v>
      </c>
      <c r="L79" s="91">
        <v>-669755</v>
      </c>
      <c r="M79" s="91">
        <v>142064</v>
      </c>
      <c r="N79" s="155">
        <v>162359</v>
      </c>
      <c r="O79" s="72">
        <v>6813000</v>
      </c>
      <c r="P79" s="72">
        <v>4271751</v>
      </c>
      <c r="Q79" s="198">
        <v>2541249</v>
      </c>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row>
    <row r="80" spans="1:256" s="99" customFormat="1" x14ac:dyDescent="0.35">
      <c r="A80" s="154">
        <v>10300206</v>
      </c>
      <c r="B80" s="90" t="s">
        <v>290</v>
      </c>
      <c r="C80" s="90" t="s">
        <v>288</v>
      </c>
      <c r="D80" s="91">
        <v>1065916</v>
      </c>
      <c r="E80" s="90">
        <v>0</v>
      </c>
      <c r="F80" s="90">
        <v>0</v>
      </c>
      <c r="G80" s="90">
        <v>0</v>
      </c>
      <c r="H80" s="91">
        <v>1065916</v>
      </c>
      <c r="I80" s="91">
        <v>-852735</v>
      </c>
      <c r="J80" s="90">
        <v>0</v>
      </c>
      <c r="K80" s="91">
        <v>-26648</v>
      </c>
      <c r="L80" s="91">
        <v>-879383</v>
      </c>
      <c r="M80" s="91">
        <v>186533</v>
      </c>
      <c r="N80" s="155">
        <v>213181</v>
      </c>
      <c r="O80" s="72">
        <v>8946000</v>
      </c>
      <c r="P80" s="72">
        <v>5609142</v>
      </c>
      <c r="Q80" s="198">
        <v>3336858</v>
      </c>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row>
    <row r="81" spans="1:256" s="99" customFormat="1" x14ac:dyDescent="0.35">
      <c r="A81" s="154">
        <v>10300222</v>
      </c>
      <c r="B81" s="90" t="s">
        <v>291</v>
      </c>
      <c r="C81" s="90" t="s">
        <v>292</v>
      </c>
      <c r="D81" s="91">
        <v>27352</v>
      </c>
      <c r="E81" s="90">
        <v>0</v>
      </c>
      <c r="F81" s="90">
        <v>0</v>
      </c>
      <c r="G81" s="90">
        <v>0</v>
      </c>
      <c r="H81" s="91">
        <v>27352</v>
      </c>
      <c r="I81" s="91">
        <v>-17520</v>
      </c>
      <c r="J81" s="90">
        <v>0</v>
      </c>
      <c r="K81" s="90">
        <v>-547</v>
      </c>
      <c r="L81" s="91">
        <v>-18067</v>
      </c>
      <c r="M81" s="91">
        <v>9285</v>
      </c>
      <c r="N81" s="155">
        <v>9832</v>
      </c>
      <c r="O81" s="72">
        <v>230000</v>
      </c>
      <c r="P81" s="72">
        <v>144210</v>
      </c>
      <c r="Q81" s="198">
        <v>85790</v>
      </c>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row>
    <row r="82" spans="1:256" s="99" customFormat="1" x14ac:dyDescent="0.35">
      <c r="A82" s="154">
        <v>10300355</v>
      </c>
      <c r="B82" s="90" t="s">
        <v>293</v>
      </c>
      <c r="C82" s="90" t="s">
        <v>288</v>
      </c>
      <c r="D82" s="91">
        <v>111588</v>
      </c>
      <c r="E82" s="90">
        <v>0</v>
      </c>
      <c r="F82" s="90">
        <v>0</v>
      </c>
      <c r="G82" s="90">
        <v>0</v>
      </c>
      <c r="H82" s="91">
        <v>111588</v>
      </c>
      <c r="I82" s="91">
        <v>-89272</v>
      </c>
      <c r="J82" s="90">
        <v>0</v>
      </c>
      <c r="K82" s="91">
        <v>-2790</v>
      </c>
      <c r="L82" s="91">
        <v>-92062</v>
      </c>
      <c r="M82" s="91">
        <v>19526</v>
      </c>
      <c r="N82" s="155">
        <v>22316</v>
      </c>
      <c r="O82" s="72">
        <v>937000</v>
      </c>
      <c r="P82" s="72">
        <v>587499</v>
      </c>
      <c r="Q82" s="198">
        <v>349501</v>
      </c>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row>
    <row r="83" spans="1:256" s="99" customFormat="1" x14ac:dyDescent="0.35">
      <c r="A83" s="154">
        <v>10300355</v>
      </c>
      <c r="B83" s="90" t="s">
        <v>294</v>
      </c>
      <c r="C83" s="90" t="s">
        <v>288</v>
      </c>
      <c r="D83" s="91">
        <v>1904441.11</v>
      </c>
      <c r="E83" s="90">
        <v>0</v>
      </c>
      <c r="F83" s="90">
        <v>0</v>
      </c>
      <c r="G83" s="90">
        <v>0</v>
      </c>
      <c r="H83" s="91">
        <v>1904441.11</v>
      </c>
      <c r="I83" s="91">
        <v>-980869</v>
      </c>
      <c r="J83" s="90">
        <v>0</v>
      </c>
      <c r="K83" s="91">
        <v>-114272</v>
      </c>
      <c r="L83" s="91">
        <v>-1095141</v>
      </c>
      <c r="M83" s="91">
        <v>809300.11</v>
      </c>
      <c r="N83" s="155">
        <v>923572.11</v>
      </c>
      <c r="O83" s="72">
        <v>15984000</v>
      </c>
      <c r="P83" s="72">
        <v>10021968</v>
      </c>
      <c r="Q83" s="198">
        <v>5962032</v>
      </c>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row>
    <row r="84" spans="1:256" s="99" customFormat="1" ht="20" thickBot="1" x14ac:dyDescent="0.4">
      <c r="A84" s="166"/>
      <c r="B84" s="114"/>
      <c r="C84" s="114"/>
      <c r="D84" s="121">
        <f>SUM(D76:D83)</f>
        <v>8975185.1099999994</v>
      </c>
      <c r="E84" s="121">
        <f t="shared" ref="E84:Q84" si="10">SUM(E76:E83)</f>
        <v>0</v>
      </c>
      <c r="F84" s="121">
        <f t="shared" si="10"/>
        <v>0</v>
      </c>
      <c r="G84" s="121">
        <f t="shared" si="10"/>
        <v>0</v>
      </c>
      <c r="H84" s="121">
        <f t="shared" si="10"/>
        <v>8975185.1099999994</v>
      </c>
      <c r="I84" s="121">
        <f t="shared" si="10"/>
        <v>-6771404</v>
      </c>
      <c r="J84" s="121">
        <f t="shared" si="10"/>
        <v>0</v>
      </c>
      <c r="K84" s="121">
        <f t="shared" si="10"/>
        <v>-213025</v>
      </c>
      <c r="L84" s="121">
        <f t="shared" si="10"/>
        <v>-6984429</v>
      </c>
      <c r="M84" s="121">
        <f t="shared" si="10"/>
        <v>1990756.1099999999</v>
      </c>
      <c r="N84" s="121">
        <f t="shared" si="10"/>
        <v>2203781.11</v>
      </c>
      <c r="O84" s="121">
        <f t="shared" si="10"/>
        <v>83537000</v>
      </c>
      <c r="P84" s="121">
        <f t="shared" si="10"/>
        <v>59280114</v>
      </c>
      <c r="Q84" s="122">
        <f t="shared" si="10"/>
        <v>24256886</v>
      </c>
      <c r="S84" s="101"/>
    </row>
    <row r="85" spans="1:256" s="99" customFormat="1" ht="20" thickBot="1" x14ac:dyDescent="0.4">
      <c r="A85" s="97"/>
      <c r="H85" s="101">
        <f>+H84-H78</f>
        <v>6551510.1099999994</v>
      </c>
      <c r="L85" s="101">
        <f>+L84-L78</f>
        <v>-5384801</v>
      </c>
      <c r="M85" s="101">
        <f>+M84-M78</f>
        <v>1166709.1099999999</v>
      </c>
      <c r="O85" s="193"/>
      <c r="P85" s="193"/>
      <c r="Q85" s="193"/>
    </row>
    <row r="86" spans="1:256" s="100" customFormat="1" x14ac:dyDescent="0.35">
      <c r="A86" s="152">
        <v>3</v>
      </c>
      <c r="B86" s="167" t="s">
        <v>47</v>
      </c>
      <c r="C86" s="119"/>
      <c r="D86" s="119"/>
      <c r="E86" s="119"/>
      <c r="F86" s="119"/>
      <c r="G86" s="119"/>
      <c r="H86" s="119"/>
      <c r="I86" s="119"/>
      <c r="J86" s="119"/>
      <c r="K86" s="119"/>
      <c r="L86" s="119"/>
      <c r="M86" s="119"/>
      <c r="N86" s="120"/>
      <c r="O86" s="206"/>
      <c r="P86" s="206"/>
      <c r="Q86" s="207"/>
    </row>
    <row r="87" spans="1:256" s="99" customFormat="1" x14ac:dyDescent="0.35">
      <c r="A87" s="154">
        <v>10300091</v>
      </c>
      <c r="B87" s="90" t="s">
        <v>296</v>
      </c>
      <c r="C87" s="90" t="s">
        <v>298</v>
      </c>
      <c r="D87" s="91">
        <v>517730</v>
      </c>
      <c r="E87" s="90">
        <v>0</v>
      </c>
      <c r="F87" s="90">
        <v>0</v>
      </c>
      <c r="G87" s="90">
        <v>0</v>
      </c>
      <c r="H87" s="91">
        <v>517730</v>
      </c>
      <c r="I87" s="91">
        <v>-434897</v>
      </c>
      <c r="J87" s="90">
        <v>0</v>
      </c>
      <c r="K87" s="91">
        <v>-10354</v>
      </c>
      <c r="L87" s="91">
        <v>-445251</v>
      </c>
      <c r="M87" s="91">
        <v>72479</v>
      </c>
      <c r="N87" s="155">
        <v>82833</v>
      </c>
      <c r="O87" s="72">
        <v>6083000</v>
      </c>
      <c r="P87" s="72">
        <v>4969811</v>
      </c>
      <c r="Q87" s="198">
        <v>1113189</v>
      </c>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row>
    <row r="88" spans="1:256" s="99" customFormat="1" x14ac:dyDescent="0.35">
      <c r="A88" s="154">
        <v>10300091</v>
      </c>
      <c r="B88" s="90" t="s">
        <v>297</v>
      </c>
      <c r="C88" s="90" t="s">
        <v>299</v>
      </c>
      <c r="D88" s="91">
        <v>1237048</v>
      </c>
      <c r="E88" s="90">
        <v>0</v>
      </c>
      <c r="F88" s="90">
        <v>0</v>
      </c>
      <c r="G88" s="90">
        <v>0</v>
      </c>
      <c r="H88" s="91">
        <v>1237048</v>
      </c>
      <c r="I88" s="91">
        <v>-473963</v>
      </c>
      <c r="J88" s="90">
        <v>0</v>
      </c>
      <c r="K88" s="91">
        <v>-95158</v>
      </c>
      <c r="L88" s="91">
        <v>-569121</v>
      </c>
      <c r="M88" s="91">
        <v>667927</v>
      </c>
      <c r="N88" s="155">
        <v>763085</v>
      </c>
      <c r="O88" s="72">
        <v>1574000</v>
      </c>
      <c r="P88" s="72">
        <v>179436</v>
      </c>
      <c r="Q88" s="198">
        <v>1394564</v>
      </c>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row>
    <row r="89" spans="1:256" s="99" customFormat="1" x14ac:dyDescent="0.35">
      <c r="A89" s="154">
        <v>10300190</v>
      </c>
      <c r="B89" s="90" t="s">
        <v>300</v>
      </c>
      <c r="C89" s="90" t="s">
        <v>288</v>
      </c>
      <c r="D89" s="91">
        <v>719283</v>
      </c>
      <c r="E89" s="90">
        <v>0</v>
      </c>
      <c r="F89" s="90">
        <v>0</v>
      </c>
      <c r="G89" s="90">
        <v>0</v>
      </c>
      <c r="H89" s="91">
        <v>719283</v>
      </c>
      <c r="I89" s="91">
        <v>-460344</v>
      </c>
      <c r="J89" s="90">
        <v>0</v>
      </c>
      <c r="K89" s="91">
        <v>-14386</v>
      </c>
      <c r="L89" s="91">
        <v>-474730</v>
      </c>
      <c r="M89" s="91">
        <v>244553</v>
      </c>
      <c r="N89" s="155">
        <v>258939</v>
      </c>
      <c r="O89" s="72">
        <v>6037000</v>
      </c>
      <c r="P89" s="72">
        <v>3785199</v>
      </c>
      <c r="Q89" s="198">
        <v>2251801</v>
      </c>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row>
    <row r="90" spans="1:256" s="99" customFormat="1" x14ac:dyDescent="0.35">
      <c r="A90" s="154">
        <v>10300190</v>
      </c>
      <c r="B90" s="90" t="s">
        <v>300</v>
      </c>
      <c r="C90" s="90" t="s">
        <v>288</v>
      </c>
      <c r="D90" s="91">
        <v>615950</v>
      </c>
      <c r="E90" s="90">
        <v>0</v>
      </c>
      <c r="F90" s="90">
        <v>0</v>
      </c>
      <c r="G90" s="90">
        <v>0</v>
      </c>
      <c r="H90" s="91">
        <v>615950</v>
      </c>
      <c r="I90" s="91">
        <v>-102523</v>
      </c>
      <c r="J90" s="90">
        <v>0</v>
      </c>
      <c r="K90" s="91">
        <v>-12570</v>
      </c>
      <c r="L90" s="91">
        <v>-115093</v>
      </c>
      <c r="M90" s="91">
        <v>500857</v>
      </c>
      <c r="N90" s="155">
        <v>513427</v>
      </c>
      <c r="O90" s="72">
        <v>5170000</v>
      </c>
      <c r="P90" s="72">
        <v>3241590</v>
      </c>
      <c r="Q90" s="198">
        <v>1928410</v>
      </c>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row>
    <row r="91" spans="1:256" s="100" customFormat="1" ht="20" thickBot="1" x14ac:dyDescent="0.4">
      <c r="A91" s="166"/>
      <c r="B91" s="124"/>
      <c r="C91" s="124"/>
      <c r="D91" s="121">
        <f>SUM(D87:D90)</f>
        <v>3090011</v>
      </c>
      <c r="E91" s="121">
        <f t="shared" ref="E91:Q91" si="11">SUM(E87:E90)</f>
        <v>0</v>
      </c>
      <c r="F91" s="121">
        <f t="shared" si="11"/>
        <v>0</v>
      </c>
      <c r="G91" s="121">
        <f t="shared" si="11"/>
        <v>0</v>
      </c>
      <c r="H91" s="121">
        <f t="shared" si="11"/>
        <v>3090011</v>
      </c>
      <c r="I91" s="121">
        <f t="shared" si="11"/>
        <v>-1471727</v>
      </c>
      <c r="J91" s="121">
        <f t="shared" si="11"/>
        <v>0</v>
      </c>
      <c r="K91" s="121">
        <f t="shared" si="11"/>
        <v>-132468</v>
      </c>
      <c r="L91" s="121">
        <f t="shared" si="11"/>
        <v>-1604195</v>
      </c>
      <c r="M91" s="121">
        <f t="shared" si="11"/>
        <v>1485816</v>
      </c>
      <c r="N91" s="121">
        <f t="shared" si="11"/>
        <v>1618284</v>
      </c>
      <c r="O91" s="121">
        <f t="shared" si="11"/>
        <v>18864000</v>
      </c>
      <c r="P91" s="121">
        <f t="shared" si="11"/>
        <v>12176036</v>
      </c>
      <c r="Q91" s="122">
        <f t="shared" si="11"/>
        <v>6687964</v>
      </c>
    </row>
    <row r="92" spans="1:256" s="99" customFormat="1" ht="20" thickBot="1" x14ac:dyDescent="0.4">
      <c r="A92" s="97"/>
      <c r="O92" s="193"/>
      <c r="P92" s="193"/>
      <c r="Q92" s="193"/>
    </row>
    <row r="93" spans="1:256" s="100" customFormat="1" ht="15.5" x14ac:dyDescent="0.35">
      <c r="A93" s="152">
        <v>6</v>
      </c>
      <c r="B93" s="164" t="s">
        <v>301</v>
      </c>
      <c r="C93" s="119"/>
      <c r="D93" s="119"/>
      <c r="E93" s="119"/>
      <c r="F93" s="119"/>
      <c r="G93" s="119"/>
      <c r="H93" s="119"/>
      <c r="I93" s="119"/>
      <c r="J93" s="119"/>
      <c r="K93" s="119"/>
      <c r="L93" s="119"/>
      <c r="M93" s="119"/>
      <c r="N93" s="120"/>
      <c r="O93" s="206"/>
      <c r="P93" s="206"/>
      <c r="Q93" s="207"/>
    </row>
    <row r="94" spans="1:256" s="99" customFormat="1" x14ac:dyDescent="0.35">
      <c r="A94" s="154">
        <v>10300092</v>
      </c>
      <c r="B94" s="90" t="s">
        <v>302</v>
      </c>
      <c r="C94" s="90" t="s">
        <v>279</v>
      </c>
      <c r="D94" s="91">
        <v>175752</v>
      </c>
      <c r="E94" s="90">
        <v>0</v>
      </c>
      <c r="F94" s="90">
        <v>0</v>
      </c>
      <c r="G94" s="90">
        <v>0</v>
      </c>
      <c r="H94" s="91">
        <v>175752</v>
      </c>
      <c r="I94" s="91">
        <v>-175751</v>
      </c>
      <c r="J94" s="90">
        <v>0</v>
      </c>
      <c r="K94" s="90">
        <v>0</v>
      </c>
      <c r="L94" s="91">
        <v>-175751</v>
      </c>
      <c r="M94" s="90">
        <v>1</v>
      </c>
      <c r="N94" s="165">
        <v>1</v>
      </c>
      <c r="O94" s="72">
        <v>9000</v>
      </c>
      <c r="P94" s="72">
        <v>0</v>
      </c>
      <c r="Q94" s="198">
        <v>9000</v>
      </c>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row>
    <row r="95" spans="1:256" s="99" customFormat="1" x14ac:dyDescent="0.35">
      <c r="A95" s="154">
        <v>10300093</v>
      </c>
      <c r="B95" s="90" t="s">
        <v>303</v>
      </c>
      <c r="C95" s="90" t="s">
        <v>279</v>
      </c>
      <c r="D95" s="91">
        <v>476983</v>
      </c>
      <c r="E95" s="90">
        <v>0</v>
      </c>
      <c r="F95" s="90">
        <v>0</v>
      </c>
      <c r="G95" s="90">
        <v>0</v>
      </c>
      <c r="H95" s="91">
        <v>476983</v>
      </c>
      <c r="I95" s="91">
        <v>-476982</v>
      </c>
      <c r="J95" s="90">
        <v>0</v>
      </c>
      <c r="K95" s="90">
        <v>0</v>
      </c>
      <c r="L95" s="91">
        <v>-476982</v>
      </c>
      <c r="M95" s="90">
        <v>1</v>
      </c>
      <c r="N95" s="165">
        <v>1</v>
      </c>
      <c r="O95" s="72">
        <v>24000</v>
      </c>
      <c r="P95" s="72">
        <v>0</v>
      </c>
      <c r="Q95" s="198">
        <v>24000</v>
      </c>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row>
    <row r="96" spans="1:256" s="99" customFormat="1" x14ac:dyDescent="0.35">
      <c r="A96" s="154">
        <v>10300094</v>
      </c>
      <c r="B96" s="90" t="s">
        <v>304</v>
      </c>
      <c r="C96" s="90" t="s">
        <v>279</v>
      </c>
      <c r="D96" s="91">
        <v>357910</v>
      </c>
      <c r="E96" s="90">
        <v>0</v>
      </c>
      <c r="F96" s="90">
        <v>0</v>
      </c>
      <c r="G96" s="90">
        <v>0</v>
      </c>
      <c r="H96" s="91">
        <v>357910</v>
      </c>
      <c r="I96" s="91">
        <v>-357909</v>
      </c>
      <c r="J96" s="90">
        <v>0</v>
      </c>
      <c r="K96" s="90">
        <v>0</v>
      </c>
      <c r="L96" s="91">
        <v>-357909</v>
      </c>
      <c r="M96" s="90">
        <v>1</v>
      </c>
      <c r="N96" s="165">
        <v>1</v>
      </c>
      <c r="O96" s="72">
        <v>18000</v>
      </c>
      <c r="P96" s="72">
        <v>0</v>
      </c>
      <c r="Q96" s="198">
        <v>18000</v>
      </c>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row>
    <row r="97" spans="1:256" s="99" customFormat="1" x14ac:dyDescent="0.35">
      <c r="A97" s="154">
        <v>10300095</v>
      </c>
      <c r="B97" s="90" t="s">
        <v>305</v>
      </c>
      <c r="C97" s="90" t="s">
        <v>306</v>
      </c>
      <c r="D97" s="91">
        <v>937545</v>
      </c>
      <c r="E97" s="90">
        <v>0</v>
      </c>
      <c r="F97" s="90">
        <v>0</v>
      </c>
      <c r="G97" s="90">
        <v>0</v>
      </c>
      <c r="H97" s="91">
        <v>937545</v>
      </c>
      <c r="I97" s="91">
        <v>-937544</v>
      </c>
      <c r="J97" s="90">
        <v>0</v>
      </c>
      <c r="K97" s="90">
        <v>0</v>
      </c>
      <c r="L97" s="91">
        <v>-937544</v>
      </c>
      <c r="M97" s="90">
        <v>1</v>
      </c>
      <c r="N97" s="165">
        <v>1</v>
      </c>
      <c r="O97" s="72">
        <v>47000</v>
      </c>
      <c r="P97" s="72">
        <v>0</v>
      </c>
      <c r="Q97" s="198">
        <v>47000</v>
      </c>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row>
    <row r="98" spans="1:256" s="100" customFormat="1" ht="20" thickBot="1" x14ac:dyDescent="0.4">
      <c r="A98" s="166"/>
      <c r="B98" s="124"/>
      <c r="C98" s="124"/>
      <c r="D98" s="121">
        <f>SUM(D94:D97)</f>
        <v>1948190</v>
      </c>
      <c r="E98" s="121">
        <f t="shared" ref="E98:Q98" si="12">SUM(E94:E97)</f>
        <v>0</v>
      </c>
      <c r="F98" s="121">
        <f t="shared" si="12"/>
        <v>0</v>
      </c>
      <c r="G98" s="121">
        <f t="shared" si="12"/>
        <v>0</v>
      </c>
      <c r="H98" s="121">
        <f t="shared" si="12"/>
        <v>1948190</v>
      </c>
      <c r="I98" s="121">
        <f t="shared" si="12"/>
        <v>-1948186</v>
      </c>
      <c r="J98" s="121">
        <f t="shared" si="12"/>
        <v>0</v>
      </c>
      <c r="K98" s="121">
        <f t="shared" si="12"/>
        <v>0</v>
      </c>
      <c r="L98" s="121">
        <f t="shared" si="12"/>
        <v>-1948186</v>
      </c>
      <c r="M98" s="121">
        <f t="shared" si="12"/>
        <v>4</v>
      </c>
      <c r="N98" s="122">
        <f t="shared" si="12"/>
        <v>4</v>
      </c>
      <c r="O98" s="121">
        <f t="shared" si="12"/>
        <v>98000</v>
      </c>
      <c r="P98" s="121">
        <f t="shared" si="12"/>
        <v>0</v>
      </c>
      <c r="Q98" s="122">
        <f t="shared" si="12"/>
        <v>98000</v>
      </c>
    </row>
    <row r="99" spans="1:256" s="99" customFormat="1" ht="20" thickBot="1" x14ac:dyDescent="0.4">
      <c r="A99" s="97"/>
      <c r="O99" s="193"/>
      <c r="P99" s="193"/>
      <c r="Q99" s="193"/>
    </row>
    <row r="100" spans="1:256" s="100" customFormat="1" x14ac:dyDescent="0.35">
      <c r="A100" s="117">
        <v>10</v>
      </c>
      <c r="B100" s="145" t="s">
        <v>62</v>
      </c>
      <c r="C100" s="119"/>
      <c r="D100" s="119"/>
      <c r="E100" s="119"/>
      <c r="F100" s="119"/>
      <c r="G100" s="119"/>
      <c r="H100" s="119"/>
      <c r="I100" s="119"/>
      <c r="J100" s="119"/>
      <c r="K100" s="119"/>
      <c r="L100" s="119"/>
      <c r="M100" s="119"/>
      <c r="N100" s="120"/>
      <c r="O100" s="206"/>
      <c r="P100" s="206"/>
      <c r="Q100" s="207"/>
    </row>
    <row r="101" spans="1:256" s="99" customFormat="1" x14ac:dyDescent="0.35">
      <c r="A101" s="107">
        <v>10400186</v>
      </c>
      <c r="B101" s="99" t="s">
        <v>222</v>
      </c>
      <c r="C101" s="99" t="s">
        <v>223</v>
      </c>
      <c r="D101" s="101">
        <v>49144714.359999999</v>
      </c>
      <c r="E101" s="99">
        <v>0</v>
      </c>
      <c r="F101" s="99">
        <v>0</v>
      </c>
      <c r="G101" s="99">
        <v>0</v>
      </c>
      <c r="H101" s="101">
        <f>SUM(D101:G101)</f>
        <v>49144714.359999999</v>
      </c>
      <c r="I101" s="101">
        <v>-1344544</v>
      </c>
      <c r="J101" s="99">
        <v>0</v>
      </c>
      <c r="K101" s="101">
        <v>-655264</v>
      </c>
      <c r="L101" s="101">
        <f>SUM(I101:K101)</f>
        <v>-1999808</v>
      </c>
      <c r="M101" s="101">
        <v>47144906.359999999</v>
      </c>
      <c r="N101" s="101">
        <v>47800170.359999999</v>
      </c>
      <c r="O101" s="213">
        <v>54175276</v>
      </c>
      <c r="P101" s="213">
        <v>3859988</v>
      </c>
      <c r="Q101" s="214">
        <v>50315287</v>
      </c>
    </row>
    <row r="102" spans="1:256" s="99" customFormat="1" ht="15" thickBot="1" x14ac:dyDescent="0.4">
      <c r="A102" s="113"/>
      <c r="B102" s="114"/>
      <c r="C102" s="114"/>
      <c r="D102" s="114"/>
      <c r="E102" s="114"/>
      <c r="F102" s="114"/>
      <c r="G102" s="114"/>
      <c r="H102" s="114"/>
      <c r="I102" s="114"/>
      <c r="J102" s="114"/>
      <c r="K102" s="114"/>
      <c r="L102" s="114"/>
      <c r="M102" s="114"/>
      <c r="N102" s="116"/>
      <c r="O102" s="208"/>
      <c r="P102" s="208"/>
      <c r="Q102" s="199"/>
    </row>
    <row r="103" spans="1:256" s="99" customFormat="1" ht="15" thickBot="1" x14ac:dyDescent="0.4">
      <c r="O103" s="193"/>
      <c r="P103" s="193"/>
      <c r="Q103" s="193"/>
    </row>
    <row r="104" spans="1:256" s="99" customFormat="1" x14ac:dyDescent="0.35">
      <c r="A104" s="117">
        <v>11</v>
      </c>
      <c r="B104" s="145" t="s">
        <v>63</v>
      </c>
      <c r="C104" s="103"/>
      <c r="D104" s="103"/>
      <c r="E104" s="103"/>
      <c r="F104" s="103"/>
      <c r="G104" s="103"/>
      <c r="H104" s="103"/>
      <c r="I104" s="103"/>
      <c r="J104" s="103"/>
      <c r="K104" s="103"/>
      <c r="L104" s="103"/>
      <c r="M104" s="103"/>
      <c r="N104" s="104"/>
      <c r="O104" s="202"/>
      <c r="P104" s="202"/>
      <c r="Q104" s="195"/>
    </row>
    <row r="105" spans="1:256" s="99" customFormat="1" ht="15" thickBot="1" x14ac:dyDescent="0.4">
      <c r="A105" s="146">
        <v>10400162</v>
      </c>
      <c r="B105" s="147" t="s">
        <v>275</v>
      </c>
      <c r="C105" s="147" t="s">
        <v>276</v>
      </c>
      <c r="D105" s="148">
        <v>552251382.20000005</v>
      </c>
      <c r="E105" s="147">
        <v>0</v>
      </c>
      <c r="F105" s="147">
        <v>0</v>
      </c>
      <c r="G105" s="147">
        <v>0</v>
      </c>
      <c r="H105" s="148">
        <v>552251382.20000005</v>
      </c>
      <c r="I105" s="148">
        <v>-54314838</v>
      </c>
      <c r="J105" s="147">
        <v>0</v>
      </c>
      <c r="K105" s="148">
        <v>-7355789</v>
      </c>
      <c r="L105" s="148">
        <v>-61670627</v>
      </c>
      <c r="M105" s="148">
        <v>490580755.19999999</v>
      </c>
      <c r="N105" s="149">
        <v>497936544.19999999</v>
      </c>
      <c r="O105" s="210">
        <v>925930461</v>
      </c>
      <c r="P105" s="210">
        <v>197917636</v>
      </c>
      <c r="Q105" s="201">
        <v>728012825</v>
      </c>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row>
    <row r="106" spans="1:256" s="99" customFormat="1" ht="15" thickBot="1" x14ac:dyDescent="0.4">
      <c r="O106" s="193"/>
      <c r="P106" s="193"/>
      <c r="Q106" s="193"/>
    </row>
    <row r="107" spans="1:256" s="100" customFormat="1" x14ac:dyDescent="0.35">
      <c r="A107" s="152">
        <v>12</v>
      </c>
      <c r="B107" s="172" t="s">
        <v>64</v>
      </c>
      <c r="C107" s="119"/>
      <c r="D107" s="119"/>
      <c r="E107" s="119"/>
      <c r="F107" s="119"/>
      <c r="G107" s="119"/>
      <c r="H107" s="119"/>
      <c r="I107" s="119"/>
      <c r="J107" s="119"/>
      <c r="K107" s="119"/>
      <c r="L107" s="119"/>
      <c r="M107" s="119"/>
      <c r="N107" s="120"/>
      <c r="O107" s="206"/>
      <c r="P107" s="206"/>
      <c r="Q107" s="207"/>
    </row>
    <row r="108" spans="1:256" s="99" customFormat="1" x14ac:dyDescent="0.35">
      <c r="A108" s="154">
        <v>10400090</v>
      </c>
      <c r="B108" s="90" t="s">
        <v>308</v>
      </c>
      <c r="C108" s="90" t="s">
        <v>288</v>
      </c>
      <c r="D108" s="91">
        <v>1374692</v>
      </c>
      <c r="E108" s="90">
        <v>0</v>
      </c>
      <c r="F108" s="90">
        <v>0</v>
      </c>
      <c r="G108" s="90">
        <v>0</v>
      </c>
      <c r="H108" s="91">
        <v>1374692</v>
      </c>
      <c r="I108" s="91">
        <v>-586549</v>
      </c>
      <c r="J108" s="90">
        <v>0</v>
      </c>
      <c r="K108" s="91">
        <v>-18329</v>
      </c>
      <c r="L108" s="91">
        <v>-604878</v>
      </c>
      <c r="M108" s="91">
        <v>769814</v>
      </c>
      <c r="N108" s="155">
        <v>788143</v>
      </c>
      <c r="O108" s="72">
        <v>11537594</v>
      </c>
      <c r="P108" s="72">
        <v>9042589</v>
      </c>
      <c r="Q108" s="198">
        <v>2495005</v>
      </c>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row>
    <row r="109" spans="1:256" s="99" customFormat="1" x14ac:dyDescent="0.35">
      <c r="A109" s="154">
        <v>10400091</v>
      </c>
      <c r="B109" s="90" t="s">
        <v>309</v>
      </c>
      <c r="C109" s="90" t="s">
        <v>288</v>
      </c>
      <c r="D109" s="91">
        <v>1616733</v>
      </c>
      <c r="E109" s="90">
        <v>0</v>
      </c>
      <c r="F109" s="90">
        <v>0</v>
      </c>
      <c r="G109" s="90">
        <v>0</v>
      </c>
      <c r="H109" s="91">
        <v>1616733</v>
      </c>
      <c r="I109" s="91">
        <v>-689816</v>
      </c>
      <c r="J109" s="90">
        <v>0</v>
      </c>
      <c r="K109" s="91">
        <v>-21556</v>
      </c>
      <c r="L109" s="91">
        <v>-711372</v>
      </c>
      <c r="M109" s="91">
        <v>905361</v>
      </c>
      <c r="N109" s="155">
        <v>926917</v>
      </c>
      <c r="O109" s="72">
        <v>13569009</v>
      </c>
      <c r="P109" s="72">
        <v>10634711</v>
      </c>
      <c r="Q109" s="198">
        <v>2934298</v>
      </c>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row>
    <row r="110" spans="1:256" s="99" customFormat="1" x14ac:dyDescent="0.35">
      <c r="A110" s="154">
        <v>10400100</v>
      </c>
      <c r="B110" s="90" t="s">
        <v>310</v>
      </c>
      <c r="C110" s="90" t="s">
        <v>312</v>
      </c>
      <c r="D110" s="91">
        <v>21486000</v>
      </c>
      <c r="E110" s="90">
        <v>0</v>
      </c>
      <c r="F110" s="90">
        <v>0</v>
      </c>
      <c r="G110" s="90">
        <v>0</v>
      </c>
      <c r="H110" s="91">
        <v>21486000</v>
      </c>
      <c r="I110" s="91">
        <v>-21485999</v>
      </c>
      <c r="J110" s="90">
        <v>0</v>
      </c>
      <c r="K110" s="90">
        <v>0</v>
      </c>
      <c r="L110" s="91">
        <v>-21485999</v>
      </c>
      <c r="M110" s="90">
        <v>1</v>
      </c>
      <c r="N110" s="165">
        <v>1</v>
      </c>
      <c r="O110" s="72">
        <v>252460500</v>
      </c>
      <c r="P110" s="72">
        <v>0</v>
      </c>
      <c r="Q110" s="198">
        <v>12623025</v>
      </c>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row>
    <row r="111" spans="1:256" s="99" customFormat="1" x14ac:dyDescent="0.35">
      <c r="A111" s="154">
        <v>10400100</v>
      </c>
      <c r="B111" s="90" t="s">
        <v>311</v>
      </c>
      <c r="C111" s="90" t="s">
        <v>313</v>
      </c>
      <c r="D111" s="91">
        <v>2186802.5</v>
      </c>
      <c r="E111" s="90">
        <v>0</v>
      </c>
      <c r="F111" s="90">
        <v>0</v>
      </c>
      <c r="G111" s="90">
        <v>0</v>
      </c>
      <c r="H111" s="91">
        <v>2186802.5</v>
      </c>
      <c r="I111" s="91">
        <v>-2186801.5</v>
      </c>
      <c r="J111" s="90">
        <v>0</v>
      </c>
      <c r="K111" s="90">
        <v>0</v>
      </c>
      <c r="L111" s="91">
        <v>-2186801.5</v>
      </c>
      <c r="M111" s="90">
        <v>1</v>
      </c>
      <c r="N111" s="165">
        <v>1</v>
      </c>
      <c r="O111" s="72">
        <v>2783203</v>
      </c>
      <c r="P111" s="72">
        <v>330505</v>
      </c>
      <c r="Q111" s="198">
        <v>2452698</v>
      </c>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row>
    <row r="112" spans="1:256" s="99" customFormat="1" x14ac:dyDescent="0.35">
      <c r="A112" s="154">
        <v>10400100</v>
      </c>
      <c r="B112" s="90" t="s">
        <v>314</v>
      </c>
      <c r="C112" s="90" t="s">
        <v>315</v>
      </c>
      <c r="D112" s="91">
        <v>5699307.1399999997</v>
      </c>
      <c r="E112" s="90">
        <v>0</v>
      </c>
      <c r="F112" s="90">
        <v>0</v>
      </c>
      <c r="G112" s="90">
        <v>0</v>
      </c>
      <c r="H112" s="91">
        <v>5699307.1399999997</v>
      </c>
      <c r="I112" s="91">
        <v>-5699306.1399999997</v>
      </c>
      <c r="J112" s="90">
        <v>0</v>
      </c>
      <c r="K112" s="90">
        <v>0</v>
      </c>
      <c r="L112" s="91">
        <v>-5699306.1399999997</v>
      </c>
      <c r="M112" s="90">
        <v>1</v>
      </c>
      <c r="N112" s="165">
        <v>1</v>
      </c>
      <c r="O112" s="72">
        <v>6649192</v>
      </c>
      <c r="P112" s="72">
        <v>631673</v>
      </c>
      <c r="Q112" s="198">
        <v>6017518</v>
      </c>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row>
    <row r="113" spans="1:256" s="100" customFormat="1" ht="15" thickBot="1" x14ac:dyDescent="0.4">
      <c r="A113" s="123"/>
      <c r="B113" s="124"/>
      <c r="C113" s="124"/>
      <c r="D113" s="121">
        <f>SUM(D108:D112)</f>
        <v>32363534.640000001</v>
      </c>
      <c r="E113" s="121">
        <f t="shared" ref="E113:Q113" si="13">SUM(E108:E112)</f>
        <v>0</v>
      </c>
      <c r="F113" s="121">
        <f t="shared" si="13"/>
        <v>0</v>
      </c>
      <c r="G113" s="121">
        <f t="shared" si="13"/>
        <v>0</v>
      </c>
      <c r="H113" s="121">
        <f t="shared" si="13"/>
        <v>32363534.640000001</v>
      </c>
      <c r="I113" s="121">
        <f t="shared" si="13"/>
        <v>-30648471.640000001</v>
      </c>
      <c r="J113" s="121">
        <f t="shared" si="13"/>
        <v>0</v>
      </c>
      <c r="K113" s="121">
        <f t="shared" si="13"/>
        <v>-39885</v>
      </c>
      <c r="L113" s="121">
        <f t="shared" si="13"/>
        <v>-30688356.640000001</v>
      </c>
      <c r="M113" s="121">
        <f t="shared" si="13"/>
        <v>1675178</v>
      </c>
      <c r="N113" s="121">
        <f t="shared" si="13"/>
        <v>1715063</v>
      </c>
      <c r="O113" s="121">
        <f t="shared" si="13"/>
        <v>286999498</v>
      </c>
      <c r="P113" s="121">
        <f t="shared" si="13"/>
        <v>20639478</v>
      </c>
      <c r="Q113" s="122">
        <f t="shared" si="13"/>
        <v>26522544</v>
      </c>
    </row>
    <row r="114" spans="1:256" s="99" customFormat="1" x14ac:dyDescent="0.35">
      <c r="O114" s="193"/>
      <c r="P114" s="193"/>
      <c r="Q114" s="193"/>
    </row>
    <row r="115" spans="1:256" s="99" customFormat="1" ht="16" thickBot="1" x14ac:dyDescent="0.4">
      <c r="A115" s="674" t="s">
        <v>65</v>
      </c>
      <c r="B115" s="675"/>
      <c r="O115" s="193"/>
      <c r="P115" s="193"/>
      <c r="Q115" s="193"/>
    </row>
    <row r="116" spans="1:256" s="100" customFormat="1" x14ac:dyDescent="0.35">
      <c r="A116" s="117">
        <v>15</v>
      </c>
      <c r="B116" s="145" t="s">
        <v>70</v>
      </c>
      <c r="C116" s="119"/>
      <c r="D116" s="119"/>
      <c r="E116" s="119"/>
      <c r="F116" s="119"/>
      <c r="G116" s="119"/>
      <c r="H116" s="119"/>
      <c r="I116" s="119"/>
      <c r="J116" s="119"/>
      <c r="K116" s="119"/>
      <c r="L116" s="119"/>
      <c r="M116" s="119"/>
      <c r="N116" s="120"/>
      <c r="O116" s="206"/>
      <c r="P116" s="206"/>
      <c r="Q116" s="207"/>
    </row>
    <row r="117" spans="1:256" s="99" customFormat="1" x14ac:dyDescent="0.35">
      <c r="A117" s="107">
        <v>10400111</v>
      </c>
      <c r="B117" s="99" t="s">
        <v>224</v>
      </c>
      <c r="C117" s="99" t="s">
        <v>225</v>
      </c>
      <c r="D117" s="101">
        <v>219830788</v>
      </c>
      <c r="E117" s="99">
        <v>0</v>
      </c>
      <c r="F117" s="99">
        <v>0</v>
      </c>
      <c r="G117" s="99">
        <v>0</v>
      </c>
      <c r="H117" s="101">
        <f>SUM(D117:G117)</f>
        <v>219830788</v>
      </c>
      <c r="I117" s="101">
        <v>-87913633</v>
      </c>
      <c r="J117" s="99">
        <v>0</v>
      </c>
      <c r="K117" s="101">
        <v>-5735528</v>
      </c>
      <c r="L117" s="101">
        <f>SUM(I117:K117)</f>
        <v>-93649161</v>
      </c>
      <c r="M117" s="101">
        <v>126181627</v>
      </c>
      <c r="N117" s="109">
        <v>131917155</v>
      </c>
      <c r="O117" s="193">
        <v>615526206</v>
      </c>
      <c r="P117" s="193">
        <v>263137453</v>
      </c>
      <c r="Q117" s="209">
        <v>352388753</v>
      </c>
    </row>
    <row r="118" spans="1:256" s="99" customFormat="1" x14ac:dyDescent="0.35">
      <c r="A118" s="107">
        <v>10400160</v>
      </c>
      <c r="B118" s="99" t="s">
        <v>226</v>
      </c>
      <c r="C118" s="99" t="s">
        <v>227</v>
      </c>
      <c r="D118" s="101">
        <v>216897919.78</v>
      </c>
      <c r="E118" s="99">
        <v>0</v>
      </c>
      <c r="F118" s="99">
        <v>0</v>
      </c>
      <c r="G118" s="99">
        <v>0</v>
      </c>
      <c r="H118" s="101">
        <f>SUM(D118:G118)</f>
        <v>216897919.78</v>
      </c>
      <c r="I118" s="101">
        <v>-49619113</v>
      </c>
      <c r="J118" s="99">
        <v>0</v>
      </c>
      <c r="K118" s="101">
        <v>-5422448</v>
      </c>
      <c r="L118" s="101">
        <f>SUM(I118:K118)</f>
        <v>-55041561</v>
      </c>
      <c r="M118" s="101">
        <v>161856358.78</v>
      </c>
      <c r="N118" s="109">
        <v>167278806.78</v>
      </c>
      <c r="O118" s="193">
        <v>410347416</v>
      </c>
      <c r="P118" s="193">
        <v>97457511</v>
      </c>
      <c r="Q118" s="209">
        <v>312889905</v>
      </c>
    </row>
    <row r="119" spans="1:256" s="99" customFormat="1" ht="15" thickBot="1" x14ac:dyDescent="0.4">
      <c r="A119" s="113"/>
      <c r="B119" s="114"/>
      <c r="C119" s="114"/>
      <c r="D119" s="121">
        <f>SUM(D117:D118)</f>
        <v>436728707.77999997</v>
      </c>
      <c r="E119" s="121">
        <f t="shared" ref="E119:Q119" si="14">SUM(E117:E118)</f>
        <v>0</v>
      </c>
      <c r="F119" s="121">
        <f t="shared" si="14"/>
        <v>0</v>
      </c>
      <c r="G119" s="121">
        <f t="shared" si="14"/>
        <v>0</v>
      </c>
      <c r="H119" s="121">
        <f t="shared" si="14"/>
        <v>436728707.77999997</v>
      </c>
      <c r="I119" s="121">
        <f t="shared" si="14"/>
        <v>-137532746</v>
      </c>
      <c r="J119" s="121">
        <f t="shared" si="14"/>
        <v>0</v>
      </c>
      <c r="K119" s="121">
        <f t="shared" si="14"/>
        <v>-11157976</v>
      </c>
      <c r="L119" s="121">
        <f t="shared" si="14"/>
        <v>-148690722</v>
      </c>
      <c r="M119" s="121">
        <f t="shared" si="14"/>
        <v>288037985.77999997</v>
      </c>
      <c r="N119" s="122">
        <f t="shared" si="14"/>
        <v>299195961.77999997</v>
      </c>
      <c r="O119" s="121">
        <f t="shared" si="14"/>
        <v>1025873622</v>
      </c>
      <c r="P119" s="121">
        <f t="shared" si="14"/>
        <v>360594964</v>
      </c>
      <c r="Q119" s="122">
        <f t="shared" si="14"/>
        <v>665278658</v>
      </c>
    </row>
    <row r="120" spans="1:256" s="99" customFormat="1" x14ac:dyDescent="0.35">
      <c r="O120" s="193"/>
      <c r="P120" s="193"/>
      <c r="Q120" s="193"/>
    </row>
    <row r="121" spans="1:256" s="99" customFormat="1" ht="17.5" thickBot="1" x14ac:dyDescent="0.4">
      <c r="A121" s="173" t="s">
        <v>158</v>
      </c>
      <c r="B121" s="94"/>
      <c r="O121" s="193"/>
      <c r="P121" s="193"/>
      <c r="Q121" s="193"/>
    </row>
    <row r="122" spans="1:256" s="99" customFormat="1" x14ac:dyDescent="0.35">
      <c r="A122" s="152">
        <v>1</v>
      </c>
      <c r="B122" s="172" t="s">
        <v>72</v>
      </c>
      <c r="C122" s="103"/>
      <c r="D122" s="103"/>
      <c r="E122" s="103"/>
      <c r="F122" s="103"/>
      <c r="G122" s="103"/>
      <c r="H122" s="103"/>
      <c r="I122" s="103"/>
      <c r="J122" s="103"/>
      <c r="K122" s="103"/>
      <c r="L122" s="103"/>
      <c r="M122" s="103"/>
      <c r="N122" s="104"/>
      <c r="O122" s="202"/>
      <c r="P122" s="202"/>
      <c r="Q122" s="195"/>
    </row>
    <row r="123" spans="1:256" s="99" customFormat="1" x14ac:dyDescent="0.35">
      <c r="A123" s="154">
        <v>10300107</v>
      </c>
      <c r="B123" s="90" t="s">
        <v>319</v>
      </c>
      <c r="C123" s="90" t="s">
        <v>279</v>
      </c>
      <c r="D123" s="91">
        <v>149199</v>
      </c>
      <c r="E123" s="90">
        <v>0</v>
      </c>
      <c r="F123" s="90">
        <v>0</v>
      </c>
      <c r="G123" s="90">
        <v>0</v>
      </c>
      <c r="H123" s="91">
        <v>149199</v>
      </c>
      <c r="I123" s="91">
        <v>-149198</v>
      </c>
      <c r="J123" s="90">
        <v>0</v>
      </c>
      <c r="K123" s="90">
        <v>0</v>
      </c>
      <c r="L123" s="91">
        <v>-149198</v>
      </c>
      <c r="M123" s="90">
        <v>1</v>
      </c>
      <c r="N123" s="165">
        <v>1</v>
      </c>
      <c r="O123" s="203">
        <v>7000</v>
      </c>
      <c r="P123" s="203">
        <v>0</v>
      </c>
      <c r="Q123" s="196">
        <v>7000</v>
      </c>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row>
    <row r="124" spans="1:256" s="99" customFormat="1" x14ac:dyDescent="0.35">
      <c r="A124" s="154">
        <v>10300107</v>
      </c>
      <c r="B124" s="90" t="s">
        <v>320</v>
      </c>
      <c r="C124" s="90" t="s">
        <v>321</v>
      </c>
      <c r="D124" s="91">
        <v>191914</v>
      </c>
      <c r="E124" s="90">
        <v>0</v>
      </c>
      <c r="F124" s="90">
        <v>0</v>
      </c>
      <c r="G124" s="90">
        <v>0</v>
      </c>
      <c r="H124" s="91">
        <v>191914</v>
      </c>
      <c r="I124" s="91">
        <v>-191913</v>
      </c>
      <c r="J124" s="90">
        <v>0</v>
      </c>
      <c r="K124" s="90">
        <v>0</v>
      </c>
      <c r="L124" s="91">
        <v>-191913</v>
      </c>
      <c r="M124" s="90">
        <v>1</v>
      </c>
      <c r="N124" s="165">
        <v>1</v>
      </c>
      <c r="O124" s="203">
        <v>322000</v>
      </c>
      <c r="P124" s="203">
        <v>55062</v>
      </c>
      <c r="Q124" s="196">
        <v>266938</v>
      </c>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row>
    <row r="125" spans="1:256" s="99" customFormat="1" x14ac:dyDescent="0.35">
      <c r="A125" s="154">
        <v>10300114</v>
      </c>
      <c r="B125" s="90" t="s">
        <v>322</v>
      </c>
      <c r="C125" s="90" t="s">
        <v>279</v>
      </c>
      <c r="D125" s="91">
        <v>191923</v>
      </c>
      <c r="E125" s="90">
        <v>0</v>
      </c>
      <c r="F125" s="90">
        <v>0</v>
      </c>
      <c r="G125" s="90">
        <v>0</v>
      </c>
      <c r="H125" s="91">
        <v>191923</v>
      </c>
      <c r="I125" s="91">
        <v>-191922</v>
      </c>
      <c r="J125" s="90">
        <v>0</v>
      </c>
      <c r="K125" s="90">
        <v>0</v>
      </c>
      <c r="L125" s="91">
        <v>-191922</v>
      </c>
      <c r="M125" s="90">
        <v>1</v>
      </c>
      <c r="N125" s="165">
        <v>1</v>
      </c>
      <c r="O125" s="203">
        <v>10000</v>
      </c>
      <c r="P125" s="203">
        <v>0</v>
      </c>
      <c r="Q125" s="196">
        <v>10000</v>
      </c>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row>
    <row r="126" spans="1:256" s="99" customFormat="1" x14ac:dyDescent="0.35">
      <c r="A126" s="154">
        <v>10300117</v>
      </c>
      <c r="B126" s="90" t="s">
        <v>323</v>
      </c>
      <c r="C126" s="90" t="s">
        <v>325</v>
      </c>
      <c r="D126" s="91">
        <v>221803</v>
      </c>
      <c r="E126" s="90">
        <v>0</v>
      </c>
      <c r="F126" s="90">
        <v>0</v>
      </c>
      <c r="G126" s="90">
        <v>0</v>
      </c>
      <c r="H126" s="91">
        <v>221803</v>
      </c>
      <c r="I126" s="91">
        <v>-204057</v>
      </c>
      <c r="J126" s="90">
        <v>0</v>
      </c>
      <c r="K126" s="91">
        <v>-4437</v>
      </c>
      <c r="L126" s="91">
        <v>-208494</v>
      </c>
      <c r="M126" s="91">
        <v>13309</v>
      </c>
      <c r="N126" s="155">
        <v>17746</v>
      </c>
      <c r="O126" s="203">
        <v>2606000</v>
      </c>
      <c r="P126" s="203">
        <v>2327158</v>
      </c>
      <c r="Q126" s="196">
        <v>278842</v>
      </c>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row>
    <row r="127" spans="1:256" s="99" customFormat="1" x14ac:dyDescent="0.35">
      <c r="A127" s="154">
        <v>10300118</v>
      </c>
      <c r="B127" s="90" t="s">
        <v>324</v>
      </c>
      <c r="C127" s="90" t="s">
        <v>326</v>
      </c>
      <c r="D127" s="91">
        <v>463052</v>
      </c>
      <c r="E127" s="90">
        <v>0</v>
      </c>
      <c r="F127" s="90">
        <v>0</v>
      </c>
      <c r="G127" s="90">
        <v>0</v>
      </c>
      <c r="H127" s="91">
        <v>463052</v>
      </c>
      <c r="I127" s="91">
        <v>-463051</v>
      </c>
      <c r="J127" s="90">
        <v>0</v>
      </c>
      <c r="K127" s="90">
        <v>0</v>
      </c>
      <c r="L127" s="91">
        <v>-463051</v>
      </c>
      <c r="M127" s="90">
        <v>1</v>
      </c>
      <c r="N127" s="165">
        <v>1</v>
      </c>
      <c r="O127" s="203">
        <v>23000</v>
      </c>
      <c r="P127" s="203">
        <v>0</v>
      </c>
      <c r="Q127" s="196">
        <v>23000</v>
      </c>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row>
    <row r="128" spans="1:256" s="99" customFormat="1" x14ac:dyDescent="0.35">
      <c r="A128" s="154">
        <v>10300410</v>
      </c>
      <c r="B128" s="90" t="s">
        <v>327</v>
      </c>
      <c r="C128" s="90" t="s">
        <v>328</v>
      </c>
      <c r="D128" s="91">
        <v>668728</v>
      </c>
      <c r="E128" s="90">
        <v>0</v>
      </c>
      <c r="F128" s="90">
        <v>0</v>
      </c>
      <c r="G128" s="90">
        <v>0</v>
      </c>
      <c r="H128" s="91">
        <v>668728</v>
      </c>
      <c r="I128" s="91">
        <v>-668727</v>
      </c>
      <c r="J128" s="90">
        <v>0</v>
      </c>
      <c r="K128" s="90">
        <v>0</v>
      </c>
      <c r="L128" s="91">
        <v>-668727</v>
      </c>
      <c r="M128" s="90">
        <v>1</v>
      </c>
      <c r="N128" s="165">
        <v>1</v>
      </c>
      <c r="O128" s="203">
        <v>7858000</v>
      </c>
      <c r="P128" s="203">
        <v>7166496</v>
      </c>
      <c r="Q128" s="196">
        <v>691504</v>
      </c>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row>
    <row r="129" spans="1:256" s="99" customFormat="1" x14ac:dyDescent="0.35">
      <c r="A129" s="154">
        <v>10300107</v>
      </c>
      <c r="B129" s="90" t="s">
        <v>329</v>
      </c>
      <c r="C129" s="90" t="s">
        <v>330</v>
      </c>
      <c r="D129" s="91">
        <v>1627713.45</v>
      </c>
      <c r="E129" s="90">
        <v>0</v>
      </c>
      <c r="F129" s="90">
        <v>0</v>
      </c>
      <c r="G129" s="90">
        <v>0</v>
      </c>
      <c r="H129" s="91">
        <v>1627713.45</v>
      </c>
      <c r="I129" s="91">
        <v>-1627712.45</v>
      </c>
      <c r="J129" s="90">
        <v>0</v>
      </c>
      <c r="K129" s="90">
        <v>0</v>
      </c>
      <c r="L129" s="91">
        <v>-1627712.45</v>
      </c>
      <c r="M129" s="90">
        <v>1</v>
      </c>
      <c r="N129" s="165">
        <v>1</v>
      </c>
      <c r="O129" s="203">
        <v>1794000</v>
      </c>
      <c r="P129" s="203">
        <v>136344</v>
      </c>
      <c r="Q129" s="196">
        <v>1657656</v>
      </c>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c r="IV129"/>
    </row>
    <row r="130" spans="1:256" s="99" customFormat="1" ht="15" thickBot="1" x14ac:dyDescent="0.4">
      <c r="A130" s="113"/>
      <c r="B130" s="114"/>
      <c r="C130" s="114"/>
      <c r="D130" s="121">
        <f>SUM(D123:D129)</f>
        <v>3514332.45</v>
      </c>
      <c r="E130" s="121">
        <f t="shared" ref="E130:N130" si="15">SUM(E123:E129)</f>
        <v>0</v>
      </c>
      <c r="F130" s="121">
        <f t="shared" si="15"/>
        <v>0</v>
      </c>
      <c r="G130" s="121">
        <f t="shared" si="15"/>
        <v>0</v>
      </c>
      <c r="H130" s="121">
        <f t="shared" si="15"/>
        <v>3514332.45</v>
      </c>
      <c r="I130" s="121">
        <f t="shared" si="15"/>
        <v>-3496580.45</v>
      </c>
      <c r="J130" s="121">
        <f t="shared" si="15"/>
        <v>0</v>
      </c>
      <c r="K130" s="121">
        <f t="shared" si="15"/>
        <v>-4437</v>
      </c>
      <c r="L130" s="121">
        <f t="shared" si="15"/>
        <v>-3501017.45</v>
      </c>
      <c r="M130" s="121">
        <f t="shared" si="15"/>
        <v>13315</v>
      </c>
      <c r="N130" s="122">
        <f t="shared" si="15"/>
        <v>17752</v>
      </c>
      <c r="O130" s="204">
        <f>SUM(O123:O129)</f>
        <v>12620000</v>
      </c>
      <c r="P130" s="204">
        <f>SUM(P123:P129)</f>
        <v>9685060</v>
      </c>
      <c r="Q130" s="197">
        <f>SUM(Q123:Q129)</f>
        <v>2934940</v>
      </c>
    </row>
    <row r="131" spans="1:256" s="99" customFormat="1" ht="15" thickBot="1" x14ac:dyDescent="0.4">
      <c r="O131" s="193"/>
      <c r="P131" s="193"/>
      <c r="Q131" s="193"/>
    </row>
    <row r="132" spans="1:256" s="99" customFormat="1" ht="15.5" x14ac:dyDescent="0.35">
      <c r="A132" s="152">
        <v>2</v>
      </c>
      <c r="B132" s="164" t="s">
        <v>75</v>
      </c>
      <c r="C132" s="103"/>
      <c r="D132" s="103"/>
      <c r="E132" s="103"/>
      <c r="F132" s="103"/>
      <c r="G132" s="103"/>
      <c r="H132" s="103"/>
      <c r="I132" s="103"/>
      <c r="J132" s="103"/>
      <c r="K132" s="103"/>
      <c r="L132" s="103"/>
      <c r="M132" s="103"/>
      <c r="N132" s="104"/>
      <c r="O132" s="202"/>
      <c r="P132" s="202"/>
      <c r="Q132" s="195"/>
    </row>
    <row r="133" spans="1:256" s="99" customFormat="1" x14ac:dyDescent="0.35">
      <c r="A133" s="154">
        <v>10300330</v>
      </c>
      <c r="B133" s="90" t="s">
        <v>331</v>
      </c>
      <c r="C133" s="90" t="s">
        <v>335</v>
      </c>
      <c r="D133" s="91">
        <v>55125020</v>
      </c>
      <c r="E133" s="90">
        <v>0</v>
      </c>
      <c r="F133" s="90">
        <v>0</v>
      </c>
      <c r="G133" s="90">
        <v>0</v>
      </c>
      <c r="H133" s="91">
        <v>55125020</v>
      </c>
      <c r="I133" s="91">
        <v>-27270200</v>
      </c>
      <c r="J133" s="90">
        <v>0</v>
      </c>
      <c r="K133" s="91">
        <v>-1406809</v>
      </c>
      <c r="L133" s="91">
        <v>-28677009</v>
      </c>
      <c r="M133" s="91">
        <v>26448011</v>
      </c>
      <c r="N133" s="155">
        <v>27854820</v>
      </c>
      <c r="O133" s="203">
        <v>195685000</v>
      </c>
      <c r="P133" s="203">
        <v>78078315</v>
      </c>
      <c r="Q133" s="198">
        <v>117606685</v>
      </c>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row>
    <row r="134" spans="1:256" s="99" customFormat="1" x14ac:dyDescent="0.35">
      <c r="A134" s="154">
        <v>10300330</v>
      </c>
      <c r="B134" s="90" t="s">
        <v>331</v>
      </c>
      <c r="C134" s="90" t="s">
        <v>335</v>
      </c>
      <c r="D134" s="91">
        <v>2039578.9</v>
      </c>
      <c r="E134" s="90">
        <v>0</v>
      </c>
      <c r="F134" s="90">
        <v>0</v>
      </c>
      <c r="G134" s="90">
        <v>0</v>
      </c>
      <c r="H134" s="91">
        <v>2039578.9</v>
      </c>
      <c r="I134" s="91">
        <v>-586391</v>
      </c>
      <c r="J134" s="90">
        <v>0</v>
      </c>
      <c r="K134" s="91">
        <v>-73272</v>
      </c>
      <c r="L134" s="91">
        <v>-659663</v>
      </c>
      <c r="M134" s="91">
        <v>1379915.9</v>
      </c>
      <c r="N134" s="155">
        <v>1453187.9</v>
      </c>
      <c r="O134" s="203">
        <v>7240000</v>
      </c>
      <c r="P134" s="203">
        <v>2888760</v>
      </c>
      <c r="Q134" s="198">
        <v>4351240</v>
      </c>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c r="IP134"/>
      <c r="IQ134"/>
      <c r="IR134"/>
      <c r="IS134"/>
      <c r="IT134"/>
      <c r="IU134"/>
      <c r="IV134"/>
    </row>
    <row r="135" spans="1:256" s="99" customFormat="1" x14ac:dyDescent="0.35">
      <c r="A135" s="154">
        <v>10300330</v>
      </c>
      <c r="B135" s="90" t="s">
        <v>332</v>
      </c>
      <c r="C135" s="90" t="s">
        <v>336</v>
      </c>
      <c r="D135" s="91">
        <v>555041.17000000004</v>
      </c>
      <c r="E135" s="90">
        <v>0</v>
      </c>
      <c r="F135" s="90">
        <v>0</v>
      </c>
      <c r="G135" s="90">
        <v>0</v>
      </c>
      <c r="H135" s="91">
        <v>555041.17000000004</v>
      </c>
      <c r="I135" s="91">
        <v>-239468</v>
      </c>
      <c r="J135" s="90">
        <v>0</v>
      </c>
      <c r="K135" s="91">
        <v>-29934</v>
      </c>
      <c r="L135" s="91">
        <v>-269402</v>
      </c>
      <c r="M135" s="91">
        <v>285639.17</v>
      </c>
      <c r="N135" s="155">
        <v>315573.17</v>
      </c>
      <c r="O135" s="203">
        <v>1134000</v>
      </c>
      <c r="P135" s="203">
        <v>237006</v>
      </c>
      <c r="Q135" s="198">
        <v>896994</v>
      </c>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c r="IP135"/>
      <c r="IQ135"/>
      <c r="IR135"/>
      <c r="IS135"/>
      <c r="IT135"/>
      <c r="IU135"/>
      <c r="IV135"/>
    </row>
    <row r="136" spans="1:256" s="99" customFormat="1" x14ac:dyDescent="0.35">
      <c r="A136" s="154">
        <v>10300330</v>
      </c>
      <c r="B136" s="90" t="s">
        <v>333</v>
      </c>
      <c r="C136" s="90" t="s">
        <v>337</v>
      </c>
      <c r="D136" s="91">
        <v>317052.19</v>
      </c>
      <c r="E136" s="90">
        <v>0</v>
      </c>
      <c r="F136" s="90">
        <v>0</v>
      </c>
      <c r="G136" s="90">
        <v>0</v>
      </c>
      <c r="H136" s="91">
        <v>317052.19</v>
      </c>
      <c r="I136" s="91">
        <v>-50619</v>
      </c>
      <c r="J136" s="90">
        <v>0</v>
      </c>
      <c r="K136" s="91">
        <v>-13843</v>
      </c>
      <c r="L136" s="91">
        <v>-64462</v>
      </c>
      <c r="M136" s="91">
        <v>252590.19</v>
      </c>
      <c r="N136" s="155">
        <v>266433.19</v>
      </c>
      <c r="O136" s="203">
        <v>370000</v>
      </c>
      <c r="P136" s="203">
        <v>35150</v>
      </c>
      <c r="Q136" s="198">
        <v>334850</v>
      </c>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c r="IV136"/>
    </row>
    <row r="137" spans="1:256" s="99" customFormat="1" x14ac:dyDescent="0.35">
      <c r="A137" s="154">
        <v>10300330</v>
      </c>
      <c r="B137" s="90" t="s">
        <v>334</v>
      </c>
      <c r="C137" s="90" t="s">
        <v>338</v>
      </c>
      <c r="D137" s="91">
        <v>1175397.8899999999</v>
      </c>
      <c r="E137" s="90">
        <v>0</v>
      </c>
      <c r="F137" s="90">
        <v>0</v>
      </c>
      <c r="G137" s="90">
        <v>0</v>
      </c>
      <c r="H137" s="91">
        <v>1175397.8899999999</v>
      </c>
      <c r="I137" s="91">
        <v>-113732</v>
      </c>
      <c r="J137" s="90">
        <v>0</v>
      </c>
      <c r="K137" s="91">
        <v>-49320</v>
      </c>
      <c r="L137" s="91">
        <v>-163052</v>
      </c>
      <c r="M137" s="91">
        <v>1012345.89</v>
      </c>
      <c r="N137" s="155">
        <v>1061665.8899999999</v>
      </c>
      <c r="O137" s="203">
        <v>1296000</v>
      </c>
      <c r="P137" s="203">
        <v>98496</v>
      </c>
      <c r="Q137" s="198">
        <v>1197504</v>
      </c>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c r="IV137"/>
    </row>
    <row r="138" spans="1:256" s="99" customFormat="1" x14ac:dyDescent="0.35">
      <c r="A138" s="154">
        <v>10300409</v>
      </c>
      <c r="B138" s="90" t="s">
        <v>339</v>
      </c>
      <c r="C138" s="90" t="s">
        <v>340</v>
      </c>
      <c r="D138" s="91">
        <v>2086109</v>
      </c>
      <c r="E138" s="90">
        <v>0</v>
      </c>
      <c r="F138" s="90">
        <v>0</v>
      </c>
      <c r="G138" s="90">
        <v>0</v>
      </c>
      <c r="H138" s="91">
        <v>2086109</v>
      </c>
      <c r="I138" s="91">
        <v>-1667611</v>
      </c>
      <c r="J138" s="90">
        <v>0</v>
      </c>
      <c r="K138" s="91">
        <v>-52152</v>
      </c>
      <c r="L138" s="91">
        <v>-1719763</v>
      </c>
      <c r="M138" s="91">
        <v>366346</v>
      </c>
      <c r="N138" s="155">
        <v>418498</v>
      </c>
      <c r="O138" s="203">
        <v>17508000</v>
      </c>
      <c r="P138" s="203">
        <v>10977516</v>
      </c>
      <c r="Q138" s="198">
        <v>6530484</v>
      </c>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c r="IV138"/>
    </row>
    <row r="139" spans="1:256" s="100" customFormat="1" ht="15" thickBot="1" x14ac:dyDescent="0.4">
      <c r="A139" s="123"/>
      <c r="B139" s="124"/>
      <c r="C139" s="124"/>
      <c r="D139" s="121">
        <f>SUM(D133:D138)</f>
        <v>61298199.149999999</v>
      </c>
      <c r="E139" s="121">
        <f t="shared" ref="E139:M139" si="16">SUM(E133:E138)</f>
        <v>0</v>
      </c>
      <c r="F139" s="121">
        <f t="shared" si="16"/>
        <v>0</v>
      </c>
      <c r="G139" s="121">
        <f t="shared" si="16"/>
        <v>0</v>
      </c>
      <c r="H139" s="121">
        <f t="shared" si="16"/>
        <v>61298199.149999999</v>
      </c>
      <c r="I139" s="121">
        <f t="shared" si="16"/>
        <v>-29928021</v>
      </c>
      <c r="J139" s="121">
        <f t="shared" si="16"/>
        <v>0</v>
      </c>
      <c r="K139" s="121">
        <f t="shared" si="16"/>
        <v>-1625330</v>
      </c>
      <c r="L139" s="121">
        <f t="shared" si="16"/>
        <v>-31553351</v>
      </c>
      <c r="M139" s="121">
        <f t="shared" si="16"/>
        <v>29744848.150000002</v>
      </c>
      <c r="N139" s="121">
        <f>SUM(N133:N138)</f>
        <v>31370178.150000002</v>
      </c>
      <c r="O139" s="204">
        <f>SUM(O133:O138)</f>
        <v>223233000</v>
      </c>
      <c r="P139" s="204">
        <f>SUM(P133:P138)</f>
        <v>92315243</v>
      </c>
      <c r="Q139" s="197">
        <f>SUM(Q133:Q138)</f>
        <v>130917757</v>
      </c>
    </row>
    <row r="140" spans="1:256" s="99" customFormat="1" ht="15" thickBot="1" x14ac:dyDescent="0.4">
      <c r="O140" s="193"/>
      <c r="P140" s="193"/>
      <c r="Q140" s="193"/>
    </row>
    <row r="141" spans="1:256" s="99" customFormat="1" ht="15.5" x14ac:dyDescent="0.35">
      <c r="A141" s="693">
        <v>3</v>
      </c>
      <c r="B141" s="694" t="s">
        <v>622</v>
      </c>
      <c r="C141" s="695"/>
      <c r="D141" s="695"/>
      <c r="E141" s="695"/>
      <c r="F141" s="695"/>
      <c r="G141" s="695"/>
      <c r="H141" s="695"/>
      <c r="I141" s="695"/>
      <c r="J141" s="695"/>
      <c r="K141" s="695"/>
      <c r="L141" s="695"/>
      <c r="M141" s="695"/>
      <c r="N141" s="696"/>
      <c r="O141" s="697"/>
      <c r="P141" s="697"/>
      <c r="Q141" s="698"/>
    </row>
    <row r="142" spans="1:256" s="175" customFormat="1" x14ac:dyDescent="0.35">
      <c r="A142" s="699">
        <v>10300023</v>
      </c>
      <c r="B142" s="700" t="s">
        <v>341</v>
      </c>
      <c r="C142" s="700" t="s">
        <v>342</v>
      </c>
      <c r="D142" s="701">
        <v>12270</v>
      </c>
      <c r="E142" s="700">
        <v>0</v>
      </c>
      <c r="F142" s="700">
        <v>0</v>
      </c>
      <c r="G142" s="700">
        <v>0</v>
      </c>
      <c r="H142" s="701">
        <v>12270</v>
      </c>
      <c r="I142" s="701">
        <v>-12269</v>
      </c>
      <c r="J142" s="700">
        <v>0</v>
      </c>
      <c r="K142" s="700">
        <v>0</v>
      </c>
      <c r="L142" s="701">
        <v>-12269</v>
      </c>
      <c r="M142" s="700">
        <v>1</v>
      </c>
      <c r="N142" s="702">
        <v>1</v>
      </c>
      <c r="O142" s="703">
        <v>1000</v>
      </c>
      <c r="P142" s="703">
        <v>0</v>
      </c>
      <c r="Q142" s="704">
        <v>1000</v>
      </c>
      <c r="R142" s="174"/>
      <c r="S142" s="174"/>
      <c r="T142" s="174"/>
      <c r="U142" s="174"/>
      <c r="V142" s="174"/>
      <c r="W142" s="174"/>
      <c r="X142" s="174"/>
      <c r="Y142" s="174"/>
      <c r="Z142" s="174"/>
      <c r="AA142" s="174"/>
      <c r="AB142" s="174"/>
      <c r="AC142" s="174"/>
      <c r="AD142" s="174"/>
      <c r="AE142" s="174"/>
      <c r="AF142" s="174"/>
      <c r="AG142" s="174"/>
      <c r="AH142" s="174"/>
      <c r="AI142" s="174"/>
      <c r="AJ142" s="174"/>
      <c r="AK142" s="174"/>
      <c r="AL142" s="174"/>
      <c r="AM142" s="174"/>
      <c r="AN142" s="174"/>
      <c r="AO142" s="174"/>
      <c r="AP142" s="174"/>
      <c r="AQ142" s="174"/>
      <c r="AR142" s="174"/>
      <c r="AS142" s="174"/>
      <c r="AT142" s="174"/>
      <c r="AU142" s="174"/>
      <c r="AV142" s="174"/>
      <c r="AW142" s="174"/>
      <c r="AX142" s="174"/>
      <c r="AY142" s="174"/>
      <c r="AZ142" s="174"/>
      <c r="BA142" s="174"/>
      <c r="BB142" s="174"/>
      <c r="BC142" s="174"/>
      <c r="BD142" s="174"/>
      <c r="BE142" s="174"/>
      <c r="BF142" s="174"/>
      <c r="BG142" s="174"/>
      <c r="BH142" s="174"/>
      <c r="BI142" s="174"/>
      <c r="BJ142" s="174"/>
      <c r="BK142" s="174"/>
      <c r="BL142" s="174"/>
      <c r="BM142" s="174"/>
      <c r="BN142" s="174"/>
      <c r="BO142" s="174"/>
      <c r="BP142" s="174"/>
      <c r="BQ142" s="174"/>
      <c r="BR142" s="174"/>
      <c r="BS142" s="174"/>
      <c r="BT142" s="174"/>
      <c r="BU142" s="174"/>
      <c r="BV142" s="174"/>
      <c r="BW142" s="174"/>
      <c r="BX142" s="174"/>
      <c r="BY142" s="174"/>
      <c r="BZ142" s="174"/>
      <c r="CA142" s="174"/>
      <c r="CB142" s="174"/>
      <c r="CC142" s="174"/>
      <c r="CD142" s="174"/>
      <c r="CE142" s="174"/>
      <c r="CF142" s="174"/>
      <c r="CG142" s="174"/>
      <c r="CH142" s="174"/>
      <c r="CI142" s="174"/>
      <c r="CJ142" s="174"/>
      <c r="CK142" s="174"/>
      <c r="CL142" s="174"/>
      <c r="CM142" s="174"/>
      <c r="CN142" s="174"/>
      <c r="CO142" s="174"/>
      <c r="CP142" s="174"/>
      <c r="CQ142" s="174"/>
      <c r="CR142" s="174"/>
      <c r="CS142" s="174"/>
      <c r="CT142" s="174"/>
      <c r="CU142" s="174"/>
      <c r="CV142" s="174"/>
      <c r="CW142" s="174"/>
      <c r="CX142" s="174"/>
      <c r="CY142" s="174"/>
      <c r="CZ142" s="174"/>
      <c r="DA142" s="174"/>
      <c r="DB142" s="174"/>
      <c r="DC142" s="174"/>
      <c r="DD142" s="174"/>
      <c r="DE142" s="174"/>
      <c r="DF142" s="174"/>
      <c r="DG142" s="174"/>
      <c r="DH142" s="174"/>
      <c r="DI142" s="174"/>
      <c r="DJ142" s="174"/>
      <c r="DK142" s="174"/>
      <c r="DL142" s="174"/>
      <c r="DM142" s="174"/>
      <c r="DN142" s="174"/>
      <c r="DO142" s="174"/>
      <c r="DP142" s="174"/>
      <c r="DQ142" s="174"/>
      <c r="DR142" s="174"/>
      <c r="DS142" s="174"/>
      <c r="DT142" s="174"/>
      <c r="DU142" s="174"/>
      <c r="DV142" s="174"/>
      <c r="DW142" s="174"/>
      <c r="DX142" s="174"/>
      <c r="DY142" s="174"/>
      <c r="DZ142" s="174"/>
      <c r="EA142" s="174"/>
      <c r="EB142" s="174"/>
      <c r="EC142" s="174"/>
      <c r="ED142" s="174"/>
      <c r="EE142" s="174"/>
      <c r="EF142" s="174"/>
      <c r="EG142" s="174"/>
      <c r="EH142" s="174"/>
      <c r="EI142" s="174"/>
      <c r="EJ142" s="174"/>
      <c r="EK142" s="174"/>
      <c r="EL142" s="174"/>
      <c r="EM142" s="174"/>
      <c r="EN142" s="174"/>
      <c r="EO142" s="174"/>
      <c r="EP142" s="174"/>
      <c r="EQ142" s="174"/>
      <c r="ER142" s="174"/>
      <c r="ES142" s="174"/>
      <c r="ET142" s="174"/>
      <c r="EU142" s="174"/>
      <c r="EV142" s="174"/>
      <c r="EW142" s="174"/>
      <c r="EX142" s="174"/>
      <c r="EY142" s="174"/>
      <c r="EZ142" s="174"/>
      <c r="FA142" s="174"/>
      <c r="FB142" s="174"/>
      <c r="FC142" s="174"/>
      <c r="FD142" s="174"/>
      <c r="FE142" s="174"/>
      <c r="FF142" s="174"/>
      <c r="FG142" s="174"/>
      <c r="FH142" s="174"/>
      <c r="FI142" s="174"/>
      <c r="FJ142" s="174"/>
      <c r="FK142" s="174"/>
      <c r="FL142" s="174"/>
      <c r="FM142" s="174"/>
      <c r="FN142" s="174"/>
      <c r="FO142" s="174"/>
      <c r="FP142" s="174"/>
      <c r="FQ142" s="174"/>
      <c r="FR142" s="174"/>
      <c r="FS142" s="174"/>
      <c r="FT142" s="174"/>
      <c r="FU142" s="174"/>
      <c r="FV142" s="174"/>
      <c r="FW142" s="174"/>
      <c r="FX142" s="174"/>
      <c r="FY142" s="174"/>
      <c r="FZ142" s="174"/>
      <c r="GA142" s="174"/>
      <c r="GB142" s="174"/>
      <c r="GC142" s="174"/>
      <c r="GD142" s="174"/>
      <c r="GE142" s="174"/>
      <c r="GF142" s="174"/>
      <c r="GG142" s="174"/>
      <c r="GH142" s="174"/>
      <c r="GI142" s="174"/>
      <c r="GJ142" s="174"/>
      <c r="GK142" s="174"/>
      <c r="GL142" s="174"/>
      <c r="GM142" s="174"/>
      <c r="GN142" s="174"/>
      <c r="GO142" s="174"/>
      <c r="GP142" s="174"/>
      <c r="GQ142" s="174"/>
      <c r="GR142" s="174"/>
      <c r="GS142" s="174"/>
      <c r="GT142" s="174"/>
      <c r="GU142" s="174"/>
      <c r="GV142" s="174"/>
      <c r="GW142" s="174"/>
      <c r="GX142" s="174"/>
      <c r="GY142" s="174"/>
      <c r="GZ142" s="174"/>
      <c r="HA142" s="174"/>
      <c r="HB142" s="174"/>
      <c r="HC142" s="174"/>
      <c r="HD142" s="174"/>
      <c r="HE142" s="174"/>
      <c r="HF142" s="174"/>
      <c r="HG142" s="174"/>
      <c r="HH142" s="174"/>
      <c r="HI142" s="174"/>
      <c r="HJ142" s="174"/>
      <c r="HK142" s="174"/>
      <c r="HL142" s="174"/>
      <c r="HM142" s="174"/>
      <c r="HN142" s="174"/>
      <c r="HO142" s="174"/>
      <c r="HP142" s="174"/>
      <c r="HQ142" s="174"/>
      <c r="HR142" s="174"/>
      <c r="HS142" s="174"/>
      <c r="HT142" s="174"/>
      <c r="HU142" s="174"/>
      <c r="HV142" s="174"/>
      <c r="HW142" s="174"/>
      <c r="HX142" s="174"/>
      <c r="HY142" s="174"/>
      <c r="HZ142" s="174"/>
      <c r="IA142" s="174"/>
      <c r="IB142" s="174"/>
      <c r="IC142" s="174"/>
      <c r="ID142" s="174"/>
      <c r="IE142" s="174"/>
      <c r="IF142" s="174"/>
      <c r="IG142" s="174"/>
      <c r="IH142" s="174"/>
      <c r="II142" s="174"/>
      <c r="IJ142" s="174"/>
      <c r="IK142" s="174"/>
      <c r="IL142" s="174"/>
      <c r="IM142" s="174"/>
      <c r="IN142" s="174"/>
      <c r="IO142" s="174"/>
      <c r="IP142" s="174"/>
      <c r="IQ142" s="174"/>
      <c r="IR142" s="174"/>
      <c r="IS142" s="174"/>
      <c r="IT142" s="174"/>
      <c r="IU142" s="174"/>
      <c r="IV142" s="174"/>
    </row>
    <row r="143" spans="1:256" s="175" customFormat="1" x14ac:dyDescent="0.35">
      <c r="A143" s="699">
        <v>10300145</v>
      </c>
      <c r="B143" s="700" t="s">
        <v>343</v>
      </c>
      <c r="C143" s="700" t="s">
        <v>344</v>
      </c>
      <c r="D143" s="701">
        <v>45378</v>
      </c>
      <c r="E143" s="700">
        <v>0</v>
      </c>
      <c r="F143" s="700">
        <v>0</v>
      </c>
      <c r="G143" s="700">
        <v>0</v>
      </c>
      <c r="H143" s="701">
        <v>45378</v>
      </c>
      <c r="I143" s="701">
        <v>-36313</v>
      </c>
      <c r="J143" s="700">
        <v>0</v>
      </c>
      <c r="K143" s="700">
        <v>-907</v>
      </c>
      <c r="L143" s="701">
        <v>-37220</v>
      </c>
      <c r="M143" s="701">
        <v>8158</v>
      </c>
      <c r="N143" s="705">
        <v>9065</v>
      </c>
      <c r="O143" s="703">
        <v>533000</v>
      </c>
      <c r="P143" s="703">
        <v>415207</v>
      </c>
      <c r="Q143" s="704">
        <v>117793</v>
      </c>
      <c r="R143" s="174"/>
      <c r="S143" s="174"/>
      <c r="T143" s="174"/>
      <c r="U143" s="174"/>
      <c r="V143" s="174"/>
      <c r="W143" s="174"/>
      <c r="X143" s="174"/>
      <c r="Y143" s="174"/>
      <c r="Z143" s="174"/>
      <c r="AA143" s="174"/>
      <c r="AB143" s="174"/>
      <c r="AC143" s="174"/>
      <c r="AD143" s="174"/>
      <c r="AE143" s="174"/>
      <c r="AF143" s="174"/>
      <c r="AG143" s="174"/>
      <c r="AH143" s="174"/>
      <c r="AI143" s="174"/>
      <c r="AJ143" s="174"/>
      <c r="AK143" s="174"/>
      <c r="AL143" s="174"/>
      <c r="AM143" s="174"/>
      <c r="AN143" s="174"/>
      <c r="AO143" s="174"/>
      <c r="AP143" s="174"/>
      <c r="AQ143" s="174"/>
      <c r="AR143" s="174"/>
      <c r="AS143" s="174"/>
      <c r="AT143" s="174"/>
      <c r="AU143" s="174"/>
      <c r="AV143" s="174"/>
      <c r="AW143" s="174"/>
      <c r="AX143" s="174"/>
      <c r="AY143" s="174"/>
      <c r="AZ143" s="174"/>
      <c r="BA143" s="174"/>
      <c r="BB143" s="174"/>
      <c r="BC143" s="174"/>
      <c r="BD143" s="174"/>
      <c r="BE143" s="174"/>
      <c r="BF143" s="174"/>
      <c r="BG143" s="174"/>
      <c r="BH143" s="174"/>
      <c r="BI143" s="174"/>
      <c r="BJ143" s="174"/>
      <c r="BK143" s="174"/>
      <c r="BL143" s="174"/>
      <c r="BM143" s="174"/>
      <c r="BN143" s="174"/>
      <c r="BO143" s="174"/>
      <c r="BP143" s="174"/>
      <c r="BQ143" s="174"/>
      <c r="BR143" s="174"/>
      <c r="BS143" s="174"/>
      <c r="BT143" s="174"/>
      <c r="BU143" s="174"/>
      <c r="BV143" s="174"/>
      <c r="BW143" s="174"/>
      <c r="BX143" s="174"/>
      <c r="BY143" s="174"/>
      <c r="BZ143" s="174"/>
      <c r="CA143" s="174"/>
      <c r="CB143" s="174"/>
      <c r="CC143" s="174"/>
      <c r="CD143" s="174"/>
      <c r="CE143" s="174"/>
      <c r="CF143" s="174"/>
      <c r="CG143" s="174"/>
      <c r="CH143" s="174"/>
      <c r="CI143" s="174"/>
      <c r="CJ143" s="174"/>
      <c r="CK143" s="174"/>
      <c r="CL143" s="174"/>
      <c r="CM143" s="174"/>
      <c r="CN143" s="174"/>
      <c r="CO143" s="174"/>
      <c r="CP143" s="174"/>
      <c r="CQ143" s="174"/>
      <c r="CR143" s="174"/>
      <c r="CS143" s="174"/>
      <c r="CT143" s="174"/>
      <c r="CU143" s="174"/>
      <c r="CV143" s="174"/>
      <c r="CW143" s="174"/>
      <c r="CX143" s="174"/>
      <c r="CY143" s="174"/>
      <c r="CZ143" s="174"/>
      <c r="DA143" s="174"/>
      <c r="DB143" s="174"/>
      <c r="DC143" s="174"/>
      <c r="DD143" s="174"/>
      <c r="DE143" s="174"/>
      <c r="DF143" s="174"/>
      <c r="DG143" s="174"/>
      <c r="DH143" s="174"/>
      <c r="DI143" s="174"/>
      <c r="DJ143" s="174"/>
      <c r="DK143" s="174"/>
      <c r="DL143" s="174"/>
      <c r="DM143" s="174"/>
      <c r="DN143" s="174"/>
      <c r="DO143" s="174"/>
      <c r="DP143" s="174"/>
      <c r="DQ143" s="174"/>
      <c r="DR143" s="174"/>
      <c r="DS143" s="174"/>
      <c r="DT143" s="174"/>
      <c r="DU143" s="174"/>
      <c r="DV143" s="174"/>
      <c r="DW143" s="174"/>
      <c r="DX143" s="174"/>
      <c r="DY143" s="174"/>
      <c r="DZ143" s="174"/>
      <c r="EA143" s="174"/>
      <c r="EB143" s="174"/>
      <c r="EC143" s="174"/>
      <c r="ED143" s="174"/>
      <c r="EE143" s="174"/>
      <c r="EF143" s="174"/>
      <c r="EG143" s="174"/>
      <c r="EH143" s="174"/>
      <c r="EI143" s="174"/>
      <c r="EJ143" s="174"/>
      <c r="EK143" s="174"/>
      <c r="EL143" s="174"/>
      <c r="EM143" s="174"/>
      <c r="EN143" s="174"/>
      <c r="EO143" s="174"/>
      <c r="EP143" s="174"/>
      <c r="EQ143" s="174"/>
      <c r="ER143" s="174"/>
      <c r="ES143" s="174"/>
      <c r="ET143" s="174"/>
      <c r="EU143" s="174"/>
      <c r="EV143" s="174"/>
      <c r="EW143" s="174"/>
      <c r="EX143" s="174"/>
      <c r="EY143" s="174"/>
      <c r="EZ143" s="174"/>
      <c r="FA143" s="174"/>
      <c r="FB143" s="174"/>
      <c r="FC143" s="174"/>
      <c r="FD143" s="174"/>
      <c r="FE143" s="174"/>
      <c r="FF143" s="174"/>
      <c r="FG143" s="174"/>
      <c r="FH143" s="174"/>
      <c r="FI143" s="174"/>
      <c r="FJ143" s="174"/>
      <c r="FK143" s="174"/>
      <c r="FL143" s="174"/>
      <c r="FM143" s="174"/>
      <c r="FN143" s="174"/>
      <c r="FO143" s="174"/>
      <c r="FP143" s="174"/>
      <c r="FQ143" s="174"/>
      <c r="FR143" s="174"/>
      <c r="FS143" s="174"/>
      <c r="FT143" s="174"/>
      <c r="FU143" s="174"/>
      <c r="FV143" s="174"/>
      <c r="FW143" s="174"/>
      <c r="FX143" s="174"/>
      <c r="FY143" s="174"/>
      <c r="FZ143" s="174"/>
      <c r="GA143" s="174"/>
      <c r="GB143" s="174"/>
      <c r="GC143" s="174"/>
      <c r="GD143" s="174"/>
      <c r="GE143" s="174"/>
      <c r="GF143" s="174"/>
      <c r="GG143" s="174"/>
      <c r="GH143" s="174"/>
      <c r="GI143" s="174"/>
      <c r="GJ143" s="174"/>
      <c r="GK143" s="174"/>
      <c r="GL143" s="174"/>
      <c r="GM143" s="174"/>
      <c r="GN143" s="174"/>
      <c r="GO143" s="174"/>
      <c r="GP143" s="174"/>
      <c r="GQ143" s="174"/>
      <c r="GR143" s="174"/>
      <c r="GS143" s="174"/>
      <c r="GT143" s="174"/>
      <c r="GU143" s="174"/>
      <c r="GV143" s="174"/>
      <c r="GW143" s="174"/>
      <c r="GX143" s="174"/>
      <c r="GY143" s="174"/>
      <c r="GZ143" s="174"/>
      <c r="HA143" s="174"/>
      <c r="HB143" s="174"/>
      <c r="HC143" s="174"/>
      <c r="HD143" s="174"/>
      <c r="HE143" s="174"/>
      <c r="HF143" s="174"/>
      <c r="HG143" s="174"/>
      <c r="HH143" s="174"/>
      <c r="HI143" s="174"/>
      <c r="HJ143" s="174"/>
      <c r="HK143" s="174"/>
      <c r="HL143" s="174"/>
      <c r="HM143" s="174"/>
      <c r="HN143" s="174"/>
      <c r="HO143" s="174"/>
      <c r="HP143" s="174"/>
      <c r="HQ143" s="174"/>
      <c r="HR143" s="174"/>
      <c r="HS143" s="174"/>
      <c r="HT143" s="174"/>
      <c r="HU143" s="174"/>
      <c r="HV143" s="174"/>
      <c r="HW143" s="174"/>
      <c r="HX143" s="174"/>
      <c r="HY143" s="174"/>
      <c r="HZ143" s="174"/>
      <c r="IA143" s="174"/>
      <c r="IB143" s="174"/>
      <c r="IC143" s="174"/>
      <c r="ID143" s="174"/>
      <c r="IE143" s="174"/>
      <c r="IF143" s="174"/>
      <c r="IG143" s="174"/>
      <c r="IH143" s="174"/>
      <c r="II143" s="174"/>
      <c r="IJ143" s="174"/>
      <c r="IK143" s="174"/>
      <c r="IL143" s="174"/>
      <c r="IM143" s="174"/>
      <c r="IN143" s="174"/>
      <c r="IO143" s="174"/>
      <c r="IP143" s="174"/>
      <c r="IQ143" s="174"/>
      <c r="IR143" s="174"/>
      <c r="IS143" s="174"/>
      <c r="IT143" s="174"/>
      <c r="IU143" s="174"/>
      <c r="IV143" s="174"/>
    </row>
    <row r="144" spans="1:256" s="175" customFormat="1" x14ac:dyDescent="0.35">
      <c r="A144" s="699">
        <v>10300158</v>
      </c>
      <c r="B144" s="700" t="s">
        <v>345</v>
      </c>
      <c r="C144" s="700" t="s">
        <v>279</v>
      </c>
      <c r="D144" s="701">
        <v>14091</v>
      </c>
      <c r="E144" s="700">
        <v>0</v>
      </c>
      <c r="F144" s="700">
        <v>0</v>
      </c>
      <c r="G144" s="700">
        <v>0</v>
      </c>
      <c r="H144" s="701">
        <v>14091</v>
      </c>
      <c r="I144" s="701">
        <v>-14090</v>
      </c>
      <c r="J144" s="700">
        <v>0</v>
      </c>
      <c r="K144" s="700">
        <v>0</v>
      </c>
      <c r="L144" s="701">
        <v>-14090</v>
      </c>
      <c r="M144" s="700">
        <v>1</v>
      </c>
      <c r="N144" s="702">
        <v>1</v>
      </c>
      <c r="O144" s="703">
        <v>1000</v>
      </c>
      <c r="P144" s="703">
        <v>0</v>
      </c>
      <c r="Q144" s="704">
        <v>1000</v>
      </c>
      <c r="R144" s="174"/>
      <c r="S144" s="174"/>
      <c r="T144" s="174"/>
      <c r="U144" s="174"/>
      <c r="V144" s="174"/>
      <c r="W144" s="174"/>
      <c r="X144" s="174"/>
      <c r="Y144" s="174"/>
      <c r="Z144" s="174"/>
      <c r="AA144" s="174"/>
      <c r="AB144" s="174"/>
      <c r="AC144" s="174"/>
      <c r="AD144" s="174"/>
      <c r="AE144" s="174"/>
      <c r="AF144" s="174"/>
      <c r="AG144" s="174"/>
      <c r="AH144" s="174"/>
      <c r="AI144" s="174"/>
      <c r="AJ144" s="174"/>
      <c r="AK144" s="174"/>
      <c r="AL144" s="174"/>
      <c r="AM144" s="174"/>
      <c r="AN144" s="174"/>
      <c r="AO144" s="174"/>
      <c r="AP144" s="174"/>
      <c r="AQ144" s="174"/>
      <c r="AR144" s="174"/>
      <c r="AS144" s="174"/>
      <c r="AT144" s="174"/>
      <c r="AU144" s="174"/>
      <c r="AV144" s="174"/>
      <c r="AW144" s="174"/>
      <c r="AX144" s="174"/>
      <c r="AY144" s="174"/>
      <c r="AZ144" s="174"/>
      <c r="BA144" s="174"/>
      <c r="BB144" s="174"/>
      <c r="BC144" s="174"/>
      <c r="BD144" s="174"/>
      <c r="BE144" s="174"/>
      <c r="BF144" s="174"/>
      <c r="BG144" s="174"/>
      <c r="BH144" s="174"/>
      <c r="BI144" s="174"/>
      <c r="BJ144" s="174"/>
      <c r="BK144" s="174"/>
      <c r="BL144" s="174"/>
      <c r="BM144" s="174"/>
      <c r="BN144" s="174"/>
      <c r="BO144" s="174"/>
      <c r="BP144" s="174"/>
      <c r="BQ144" s="174"/>
      <c r="BR144" s="174"/>
      <c r="BS144" s="174"/>
      <c r="BT144" s="174"/>
      <c r="BU144" s="174"/>
      <c r="BV144" s="174"/>
      <c r="BW144" s="174"/>
      <c r="BX144" s="174"/>
      <c r="BY144" s="174"/>
      <c r="BZ144" s="174"/>
      <c r="CA144" s="174"/>
      <c r="CB144" s="174"/>
      <c r="CC144" s="174"/>
      <c r="CD144" s="174"/>
      <c r="CE144" s="174"/>
      <c r="CF144" s="174"/>
      <c r="CG144" s="174"/>
      <c r="CH144" s="174"/>
      <c r="CI144" s="174"/>
      <c r="CJ144" s="174"/>
      <c r="CK144" s="174"/>
      <c r="CL144" s="174"/>
      <c r="CM144" s="174"/>
      <c r="CN144" s="174"/>
      <c r="CO144" s="174"/>
      <c r="CP144" s="174"/>
      <c r="CQ144" s="174"/>
      <c r="CR144" s="174"/>
      <c r="CS144" s="174"/>
      <c r="CT144" s="174"/>
      <c r="CU144" s="174"/>
      <c r="CV144" s="174"/>
      <c r="CW144" s="174"/>
      <c r="CX144" s="174"/>
      <c r="CY144" s="174"/>
      <c r="CZ144" s="174"/>
      <c r="DA144" s="174"/>
      <c r="DB144" s="174"/>
      <c r="DC144" s="174"/>
      <c r="DD144" s="174"/>
      <c r="DE144" s="174"/>
      <c r="DF144" s="174"/>
      <c r="DG144" s="174"/>
      <c r="DH144" s="174"/>
      <c r="DI144" s="174"/>
      <c r="DJ144" s="174"/>
      <c r="DK144" s="174"/>
      <c r="DL144" s="174"/>
      <c r="DM144" s="174"/>
      <c r="DN144" s="174"/>
      <c r="DO144" s="174"/>
      <c r="DP144" s="174"/>
      <c r="DQ144" s="174"/>
      <c r="DR144" s="174"/>
      <c r="DS144" s="174"/>
      <c r="DT144" s="174"/>
      <c r="DU144" s="174"/>
      <c r="DV144" s="174"/>
      <c r="DW144" s="174"/>
      <c r="DX144" s="174"/>
      <c r="DY144" s="174"/>
      <c r="DZ144" s="174"/>
      <c r="EA144" s="174"/>
      <c r="EB144" s="174"/>
      <c r="EC144" s="174"/>
      <c r="ED144" s="174"/>
      <c r="EE144" s="174"/>
      <c r="EF144" s="174"/>
      <c r="EG144" s="174"/>
      <c r="EH144" s="174"/>
      <c r="EI144" s="174"/>
      <c r="EJ144" s="174"/>
      <c r="EK144" s="174"/>
      <c r="EL144" s="174"/>
      <c r="EM144" s="174"/>
      <c r="EN144" s="174"/>
      <c r="EO144" s="174"/>
      <c r="EP144" s="174"/>
      <c r="EQ144" s="174"/>
      <c r="ER144" s="174"/>
      <c r="ES144" s="174"/>
      <c r="ET144" s="174"/>
      <c r="EU144" s="174"/>
      <c r="EV144" s="174"/>
      <c r="EW144" s="174"/>
      <c r="EX144" s="174"/>
      <c r="EY144" s="174"/>
      <c r="EZ144" s="174"/>
      <c r="FA144" s="174"/>
      <c r="FB144" s="174"/>
      <c r="FC144" s="174"/>
      <c r="FD144" s="174"/>
      <c r="FE144" s="174"/>
      <c r="FF144" s="174"/>
      <c r="FG144" s="174"/>
      <c r="FH144" s="174"/>
      <c r="FI144" s="174"/>
      <c r="FJ144" s="174"/>
      <c r="FK144" s="174"/>
      <c r="FL144" s="174"/>
      <c r="FM144" s="174"/>
      <c r="FN144" s="174"/>
      <c r="FO144" s="174"/>
      <c r="FP144" s="174"/>
      <c r="FQ144" s="174"/>
      <c r="FR144" s="174"/>
      <c r="FS144" s="174"/>
      <c r="FT144" s="174"/>
      <c r="FU144" s="174"/>
      <c r="FV144" s="174"/>
      <c r="FW144" s="174"/>
      <c r="FX144" s="174"/>
      <c r="FY144" s="174"/>
      <c r="FZ144" s="174"/>
      <c r="GA144" s="174"/>
      <c r="GB144" s="174"/>
      <c r="GC144" s="174"/>
      <c r="GD144" s="174"/>
      <c r="GE144" s="174"/>
      <c r="GF144" s="174"/>
      <c r="GG144" s="174"/>
      <c r="GH144" s="174"/>
      <c r="GI144" s="174"/>
      <c r="GJ144" s="174"/>
      <c r="GK144" s="174"/>
      <c r="GL144" s="174"/>
      <c r="GM144" s="174"/>
      <c r="GN144" s="174"/>
      <c r="GO144" s="174"/>
      <c r="GP144" s="174"/>
      <c r="GQ144" s="174"/>
      <c r="GR144" s="174"/>
      <c r="GS144" s="174"/>
      <c r="GT144" s="174"/>
      <c r="GU144" s="174"/>
      <c r="GV144" s="174"/>
      <c r="GW144" s="174"/>
      <c r="GX144" s="174"/>
      <c r="GY144" s="174"/>
      <c r="GZ144" s="174"/>
      <c r="HA144" s="174"/>
      <c r="HB144" s="174"/>
      <c r="HC144" s="174"/>
      <c r="HD144" s="174"/>
      <c r="HE144" s="174"/>
      <c r="HF144" s="174"/>
      <c r="HG144" s="174"/>
      <c r="HH144" s="174"/>
      <c r="HI144" s="174"/>
      <c r="HJ144" s="174"/>
      <c r="HK144" s="174"/>
      <c r="HL144" s="174"/>
      <c r="HM144" s="174"/>
      <c r="HN144" s="174"/>
      <c r="HO144" s="174"/>
      <c r="HP144" s="174"/>
      <c r="HQ144" s="174"/>
      <c r="HR144" s="174"/>
      <c r="HS144" s="174"/>
      <c r="HT144" s="174"/>
      <c r="HU144" s="174"/>
      <c r="HV144" s="174"/>
      <c r="HW144" s="174"/>
      <c r="HX144" s="174"/>
      <c r="HY144" s="174"/>
      <c r="HZ144" s="174"/>
      <c r="IA144" s="174"/>
      <c r="IB144" s="174"/>
      <c r="IC144" s="174"/>
      <c r="ID144" s="174"/>
      <c r="IE144" s="174"/>
      <c r="IF144" s="174"/>
      <c r="IG144" s="174"/>
      <c r="IH144" s="174"/>
      <c r="II144" s="174"/>
      <c r="IJ144" s="174"/>
      <c r="IK144" s="174"/>
      <c r="IL144" s="174"/>
      <c r="IM144" s="174"/>
      <c r="IN144" s="174"/>
      <c r="IO144" s="174"/>
      <c r="IP144" s="174"/>
      <c r="IQ144" s="174"/>
      <c r="IR144" s="174"/>
      <c r="IS144" s="174"/>
      <c r="IT144" s="174"/>
      <c r="IU144" s="174"/>
      <c r="IV144" s="174"/>
    </row>
    <row r="145" spans="1:256" s="175" customFormat="1" x14ac:dyDescent="0.35">
      <c r="A145" s="699">
        <v>10300298</v>
      </c>
      <c r="B145" s="700" t="s">
        <v>346</v>
      </c>
      <c r="C145" s="700" t="s">
        <v>347</v>
      </c>
      <c r="D145" s="701">
        <v>38961</v>
      </c>
      <c r="E145" s="700">
        <v>0</v>
      </c>
      <c r="F145" s="700">
        <v>0</v>
      </c>
      <c r="G145" s="700">
        <v>0</v>
      </c>
      <c r="H145" s="701">
        <v>38961</v>
      </c>
      <c r="I145" s="701">
        <v>-31184</v>
      </c>
      <c r="J145" s="700">
        <v>0</v>
      </c>
      <c r="K145" s="700">
        <v>-974</v>
      </c>
      <c r="L145" s="701">
        <v>-32158</v>
      </c>
      <c r="M145" s="701">
        <v>6803</v>
      </c>
      <c r="N145" s="705">
        <v>7777</v>
      </c>
      <c r="O145" s="703">
        <v>327000</v>
      </c>
      <c r="P145" s="703">
        <v>205029</v>
      </c>
      <c r="Q145" s="704">
        <v>121971</v>
      </c>
      <c r="R145" s="174"/>
      <c r="S145" s="174"/>
      <c r="T145" s="174"/>
      <c r="U145" s="174"/>
      <c r="V145" s="174"/>
      <c r="W145" s="174"/>
      <c r="X145" s="174"/>
      <c r="Y145" s="174"/>
      <c r="Z145" s="174"/>
      <c r="AA145" s="174"/>
      <c r="AB145" s="174"/>
      <c r="AC145" s="174"/>
      <c r="AD145" s="174"/>
      <c r="AE145" s="174"/>
      <c r="AF145" s="174"/>
      <c r="AG145" s="174"/>
      <c r="AH145" s="174"/>
      <c r="AI145" s="174"/>
      <c r="AJ145" s="174"/>
      <c r="AK145" s="174"/>
      <c r="AL145" s="174"/>
      <c r="AM145" s="174"/>
      <c r="AN145" s="174"/>
      <c r="AO145" s="174"/>
      <c r="AP145" s="174"/>
      <c r="AQ145" s="174"/>
      <c r="AR145" s="174"/>
      <c r="AS145" s="174"/>
      <c r="AT145" s="174"/>
      <c r="AU145" s="174"/>
      <c r="AV145" s="174"/>
      <c r="AW145" s="174"/>
      <c r="AX145" s="174"/>
      <c r="AY145" s="174"/>
      <c r="AZ145" s="174"/>
      <c r="BA145" s="174"/>
      <c r="BB145" s="174"/>
      <c r="BC145" s="174"/>
      <c r="BD145" s="174"/>
      <c r="BE145" s="174"/>
      <c r="BF145" s="174"/>
      <c r="BG145" s="174"/>
      <c r="BH145" s="174"/>
      <c r="BI145" s="174"/>
      <c r="BJ145" s="174"/>
      <c r="BK145" s="174"/>
      <c r="BL145" s="174"/>
      <c r="BM145" s="174"/>
      <c r="BN145" s="174"/>
      <c r="BO145" s="174"/>
      <c r="BP145" s="174"/>
      <c r="BQ145" s="174"/>
      <c r="BR145" s="174"/>
      <c r="BS145" s="174"/>
      <c r="BT145" s="174"/>
      <c r="BU145" s="174"/>
      <c r="BV145" s="174"/>
      <c r="BW145" s="174"/>
      <c r="BX145" s="174"/>
      <c r="BY145" s="174"/>
      <c r="BZ145" s="174"/>
      <c r="CA145" s="174"/>
      <c r="CB145" s="174"/>
      <c r="CC145" s="174"/>
      <c r="CD145" s="174"/>
      <c r="CE145" s="174"/>
      <c r="CF145" s="174"/>
      <c r="CG145" s="174"/>
      <c r="CH145" s="174"/>
      <c r="CI145" s="174"/>
      <c r="CJ145" s="174"/>
      <c r="CK145" s="174"/>
      <c r="CL145" s="174"/>
      <c r="CM145" s="174"/>
      <c r="CN145" s="174"/>
      <c r="CO145" s="174"/>
      <c r="CP145" s="174"/>
      <c r="CQ145" s="174"/>
      <c r="CR145" s="174"/>
      <c r="CS145" s="174"/>
      <c r="CT145" s="174"/>
      <c r="CU145" s="174"/>
      <c r="CV145" s="174"/>
      <c r="CW145" s="174"/>
      <c r="CX145" s="174"/>
      <c r="CY145" s="174"/>
      <c r="CZ145" s="174"/>
      <c r="DA145" s="174"/>
      <c r="DB145" s="174"/>
      <c r="DC145" s="174"/>
      <c r="DD145" s="174"/>
      <c r="DE145" s="174"/>
      <c r="DF145" s="174"/>
      <c r="DG145" s="174"/>
      <c r="DH145" s="174"/>
      <c r="DI145" s="174"/>
      <c r="DJ145" s="174"/>
      <c r="DK145" s="174"/>
      <c r="DL145" s="174"/>
      <c r="DM145" s="174"/>
      <c r="DN145" s="174"/>
      <c r="DO145" s="174"/>
      <c r="DP145" s="174"/>
      <c r="DQ145" s="174"/>
      <c r="DR145" s="174"/>
      <c r="DS145" s="174"/>
      <c r="DT145" s="174"/>
      <c r="DU145" s="174"/>
      <c r="DV145" s="174"/>
      <c r="DW145" s="174"/>
      <c r="DX145" s="174"/>
      <c r="DY145" s="174"/>
      <c r="DZ145" s="174"/>
      <c r="EA145" s="174"/>
      <c r="EB145" s="174"/>
      <c r="EC145" s="174"/>
      <c r="ED145" s="174"/>
      <c r="EE145" s="174"/>
      <c r="EF145" s="174"/>
      <c r="EG145" s="174"/>
      <c r="EH145" s="174"/>
      <c r="EI145" s="174"/>
      <c r="EJ145" s="174"/>
      <c r="EK145" s="174"/>
      <c r="EL145" s="174"/>
      <c r="EM145" s="174"/>
      <c r="EN145" s="174"/>
      <c r="EO145" s="174"/>
      <c r="EP145" s="174"/>
      <c r="EQ145" s="174"/>
      <c r="ER145" s="174"/>
      <c r="ES145" s="174"/>
      <c r="ET145" s="174"/>
      <c r="EU145" s="174"/>
      <c r="EV145" s="174"/>
      <c r="EW145" s="174"/>
      <c r="EX145" s="174"/>
      <c r="EY145" s="174"/>
      <c r="EZ145" s="174"/>
      <c r="FA145" s="174"/>
      <c r="FB145" s="174"/>
      <c r="FC145" s="174"/>
      <c r="FD145" s="174"/>
      <c r="FE145" s="174"/>
      <c r="FF145" s="174"/>
      <c r="FG145" s="174"/>
      <c r="FH145" s="174"/>
      <c r="FI145" s="174"/>
      <c r="FJ145" s="174"/>
      <c r="FK145" s="174"/>
      <c r="FL145" s="174"/>
      <c r="FM145" s="174"/>
      <c r="FN145" s="174"/>
      <c r="FO145" s="174"/>
      <c r="FP145" s="174"/>
      <c r="FQ145" s="174"/>
      <c r="FR145" s="174"/>
      <c r="FS145" s="174"/>
      <c r="FT145" s="174"/>
      <c r="FU145" s="174"/>
      <c r="FV145" s="174"/>
      <c r="FW145" s="174"/>
      <c r="FX145" s="174"/>
      <c r="FY145" s="174"/>
      <c r="FZ145" s="174"/>
      <c r="GA145" s="174"/>
      <c r="GB145" s="174"/>
      <c r="GC145" s="174"/>
      <c r="GD145" s="174"/>
      <c r="GE145" s="174"/>
      <c r="GF145" s="174"/>
      <c r="GG145" s="174"/>
      <c r="GH145" s="174"/>
      <c r="GI145" s="174"/>
      <c r="GJ145" s="174"/>
      <c r="GK145" s="174"/>
      <c r="GL145" s="174"/>
      <c r="GM145" s="174"/>
      <c r="GN145" s="174"/>
      <c r="GO145" s="174"/>
      <c r="GP145" s="174"/>
      <c r="GQ145" s="174"/>
      <c r="GR145" s="174"/>
      <c r="GS145" s="174"/>
      <c r="GT145" s="174"/>
      <c r="GU145" s="174"/>
      <c r="GV145" s="174"/>
      <c r="GW145" s="174"/>
      <c r="GX145" s="174"/>
      <c r="GY145" s="174"/>
      <c r="GZ145" s="174"/>
      <c r="HA145" s="174"/>
      <c r="HB145" s="174"/>
      <c r="HC145" s="174"/>
      <c r="HD145" s="174"/>
      <c r="HE145" s="174"/>
      <c r="HF145" s="174"/>
      <c r="HG145" s="174"/>
      <c r="HH145" s="174"/>
      <c r="HI145" s="174"/>
      <c r="HJ145" s="174"/>
      <c r="HK145" s="174"/>
      <c r="HL145" s="174"/>
      <c r="HM145" s="174"/>
      <c r="HN145" s="174"/>
      <c r="HO145" s="174"/>
      <c r="HP145" s="174"/>
      <c r="HQ145" s="174"/>
      <c r="HR145" s="174"/>
      <c r="HS145" s="174"/>
      <c r="HT145" s="174"/>
      <c r="HU145" s="174"/>
      <c r="HV145" s="174"/>
      <c r="HW145" s="174"/>
      <c r="HX145" s="174"/>
      <c r="HY145" s="174"/>
      <c r="HZ145" s="174"/>
      <c r="IA145" s="174"/>
      <c r="IB145" s="174"/>
      <c r="IC145" s="174"/>
      <c r="ID145" s="174"/>
      <c r="IE145" s="174"/>
      <c r="IF145" s="174"/>
      <c r="IG145" s="174"/>
      <c r="IH145" s="174"/>
      <c r="II145" s="174"/>
      <c r="IJ145" s="174"/>
      <c r="IK145" s="174"/>
      <c r="IL145" s="174"/>
      <c r="IM145" s="174"/>
      <c r="IN145" s="174"/>
      <c r="IO145" s="174"/>
      <c r="IP145" s="174"/>
      <c r="IQ145" s="174"/>
      <c r="IR145" s="174"/>
      <c r="IS145" s="174"/>
      <c r="IT145" s="174"/>
      <c r="IU145" s="174"/>
      <c r="IV145" s="174"/>
    </row>
    <row r="146" spans="1:256" s="175" customFormat="1" x14ac:dyDescent="0.35">
      <c r="A146" s="699">
        <v>10300298</v>
      </c>
      <c r="B146" s="700" t="s">
        <v>348</v>
      </c>
      <c r="C146" s="700" t="s">
        <v>349</v>
      </c>
      <c r="D146" s="701">
        <v>2451184.81</v>
      </c>
      <c r="E146" s="700">
        <v>0</v>
      </c>
      <c r="F146" s="700">
        <v>0</v>
      </c>
      <c r="G146" s="700">
        <v>0</v>
      </c>
      <c r="H146" s="701">
        <v>2451184.81</v>
      </c>
      <c r="I146" s="701">
        <v>-559656</v>
      </c>
      <c r="J146" s="700">
        <v>0</v>
      </c>
      <c r="K146" s="701">
        <v>-213155</v>
      </c>
      <c r="L146" s="701">
        <v>-772811</v>
      </c>
      <c r="M146" s="701">
        <v>1678373.81</v>
      </c>
      <c r="N146" s="705">
        <v>1891528.81</v>
      </c>
      <c r="O146" s="703">
        <v>2702000</v>
      </c>
      <c r="P146" s="703">
        <v>205352</v>
      </c>
      <c r="Q146" s="704">
        <v>2496648</v>
      </c>
      <c r="R146" s="174"/>
      <c r="S146" s="174"/>
      <c r="T146" s="174"/>
      <c r="U146" s="174"/>
      <c r="V146" s="174"/>
      <c r="W146" s="174"/>
      <c r="X146" s="174"/>
      <c r="Y146" s="174"/>
      <c r="Z146" s="174"/>
      <c r="AA146" s="174"/>
      <c r="AB146" s="174"/>
      <c r="AC146" s="174"/>
      <c r="AD146" s="174"/>
      <c r="AE146" s="174"/>
      <c r="AF146" s="174"/>
      <c r="AG146" s="174"/>
      <c r="AH146" s="174"/>
      <c r="AI146" s="174"/>
      <c r="AJ146" s="174"/>
      <c r="AK146" s="174"/>
      <c r="AL146" s="174"/>
      <c r="AM146" s="174"/>
      <c r="AN146" s="174"/>
      <c r="AO146" s="174"/>
      <c r="AP146" s="174"/>
      <c r="AQ146" s="174"/>
      <c r="AR146" s="174"/>
      <c r="AS146" s="174"/>
      <c r="AT146" s="174"/>
      <c r="AU146" s="174"/>
      <c r="AV146" s="174"/>
      <c r="AW146" s="174"/>
      <c r="AX146" s="174"/>
      <c r="AY146" s="174"/>
      <c r="AZ146" s="174"/>
      <c r="BA146" s="174"/>
      <c r="BB146" s="174"/>
      <c r="BC146" s="174"/>
      <c r="BD146" s="174"/>
      <c r="BE146" s="174"/>
      <c r="BF146" s="174"/>
      <c r="BG146" s="174"/>
      <c r="BH146" s="174"/>
      <c r="BI146" s="174"/>
      <c r="BJ146" s="174"/>
      <c r="BK146" s="174"/>
      <c r="BL146" s="174"/>
      <c r="BM146" s="174"/>
      <c r="BN146" s="174"/>
      <c r="BO146" s="174"/>
      <c r="BP146" s="174"/>
      <c r="BQ146" s="174"/>
      <c r="BR146" s="174"/>
      <c r="BS146" s="174"/>
      <c r="BT146" s="174"/>
      <c r="BU146" s="174"/>
      <c r="BV146" s="174"/>
      <c r="BW146" s="174"/>
      <c r="BX146" s="174"/>
      <c r="BY146" s="174"/>
      <c r="BZ146" s="174"/>
      <c r="CA146" s="174"/>
      <c r="CB146" s="174"/>
      <c r="CC146" s="174"/>
      <c r="CD146" s="174"/>
      <c r="CE146" s="174"/>
      <c r="CF146" s="174"/>
      <c r="CG146" s="174"/>
      <c r="CH146" s="174"/>
      <c r="CI146" s="174"/>
      <c r="CJ146" s="174"/>
      <c r="CK146" s="174"/>
      <c r="CL146" s="174"/>
      <c r="CM146" s="174"/>
      <c r="CN146" s="174"/>
      <c r="CO146" s="174"/>
      <c r="CP146" s="174"/>
      <c r="CQ146" s="174"/>
      <c r="CR146" s="174"/>
      <c r="CS146" s="174"/>
      <c r="CT146" s="174"/>
      <c r="CU146" s="174"/>
      <c r="CV146" s="174"/>
      <c r="CW146" s="174"/>
      <c r="CX146" s="174"/>
      <c r="CY146" s="174"/>
      <c r="CZ146" s="174"/>
      <c r="DA146" s="174"/>
      <c r="DB146" s="174"/>
      <c r="DC146" s="174"/>
      <c r="DD146" s="174"/>
      <c r="DE146" s="174"/>
      <c r="DF146" s="174"/>
      <c r="DG146" s="174"/>
      <c r="DH146" s="174"/>
      <c r="DI146" s="174"/>
      <c r="DJ146" s="174"/>
      <c r="DK146" s="174"/>
      <c r="DL146" s="174"/>
      <c r="DM146" s="174"/>
      <c r="DN146" s="174"/>
      <c r="DO146" s="174"/>
      <c r="DP146" s="174"/>
      <c r="DQ146" s="174"/>
      <c r="DR146" s="174"/>
      <c r="DS146" s="174"/>
      <c r="DT146" s="174"/>
      <c r="DU146" s="174"/>
      <c r="DV146" s="174"/>
      <c r="DW146" s="174"/>
      <c r="DX146" s="174"/>
      <c r="DY146" s="174"/>
      <c r="DZ146" s="174"/>
      <c r="EA146" s="174"/>
      <c r="EB146" s="174"/>
      <c r="EC146" s="174"/>
      <c r="ED146" s="174"/>
      <c r="EE146" s="174"/>
      <c r="EF146" s="174"/>
      <c r="EG146" s="174"/>
      <c r="EH146" s="174"/>
      <c r="EI146" s="174"/>
      <c r="EJ146" s="174"/>
      <c r="EK146" s="174"/>
      <c r="EL146" s="174"/>
      <c r="EM146" s="174"/>
      <c r="EN146" s="174"/>
      <c r="EO146" s="174"/>
      <c r="EP146" s="174"/>
      <c r="EQ146" s="174"/>
      <c r="ER146" s="174"/>
      <c r="ES146" s="174"/>
      <c r="ET146" s="174"/>
      <c r="EU146" s="174"/>
      <c r="EV146" s="174"/>
      <c r="EW146" s="174"/>
      <c r="EX146" s="174"/>
      <c r="EY146" s="174"/>
      <c r="EZ146" s="174"/>
      <c r="FA146" s="174"/>
      <c r="FB146" s="174"/>
      <c r="FC146" s="174"/>
      <c r="FD146" s="174"/>
      <c r="FE146" s="174"/>
      <c r="FF146" s="174"/>
      <c r="FG146" s="174"/>
      <c r="FH146" s="174"/>
      <c r="FI146" s="174"/>
      <c r="FJ146" s="174"/>
      <c r="FK146" s="174"/>
      <c r="FL146" s="174"/>
      <c r="FM146" s="174"/>
      <c r="FN146" s="174"/>
      <c r="FO146" s="174"/>
      <c r="FP146" s="174"/>
      <c r="FQ146" s="174"/>
      <c r="FR146" s="174"/>
      <c r="FS146" s="174"/>
      <c r="FT146" s="174"/>
      <c r="FU146" s="174"/>
      <c r="FV146" s="174"/>
      <c r="FW146" s="174"/>
      <c r="FX146" s="174"/>
      <c r="FY146" s="174"/>
      <c r="FZ146" s="174"/>
      <c r="GA146" s="174"/>
      <c r="GB146" s="174"/>
      <c r="GC146" s="174"/>
      <c r="GD146" s="174"/>
      <c r="GE146" s="174"/>
      <c r="GF146" s="174"/>
      <c r="GG146" s="174"/>
      <c r="GH146" s="174"/>
      <c r="GI146" s="174"/>
      <c r="GJ146" s="174"/>
      <c r="GK146" s="174"/>
      <c r="GL146" s="174"/>
      <c r="GM146" s="174"/>
      <c r="GN146" s="174"/>
      <c r="GO146" s="174"/>
      <c r="GP146" s="174"/>
      <c r="GQ146" s="174"/>
      <c r="GR146" s="174"/>
      <c r="GS146" s="174"/>
      <c r="GT146" s="174"/>
      <c r="GU146" s="174"/>
      <c r="GV146" s="174"/>
      <c r="GW146" s="174"/>
      <c r="GX146" s="174"/>
      <c r="GY146" s="174"/>
      <c r="GZ146" s="174"/>
      <c r="HA146" s="174"/>
      <c r="HB146" s="174"/>
      <c r="HC146" s="174"/>
      <c r="HD146" s="174"/>
      <c r="HE146" s="174"/>
      <c r="HF146" s="174"/>
      <c r="HG146" s="174"/>
      <c r="HH146" s="174"/>
      <c r="HI146" s="174"/>
      <c r="HJ146" s="174"/>
      <c r="HK146" s="174"/>
      <c r="HL146" s="174"/>
      <c r="HM146" s="174"/>
      <c r="HN146" s="174"/>
      <c r="HO146" s="174"/>
      <c r="HP146" s="174"/>
      <c r="HQ146" s="174"/>
      <c r="HR146" s="174"/>
      <c r="HS146" s="174"/>
      <c r="HT146" s="174"/>
      <c r="HU146" s="174"/>
      <c r="HV146" s="174"/>
      <c r="HW146" s="174"/>
      <c r="HX146" s="174"/>
      <c r="HY146" s="174"/>
      <c r="HZ146" s="174"/>
      <c r="IA146" s="174"/>
      <c r="IB146" s="174"/>
      <c r="IC146" s="174"/>
      <c r="ID146" s="174"/>
      <c r="IE146" s="174"/>
      <c r="IF146" s="174"/>
      <c r="IG146" s="174"/>
      <c r="IH146" s="174"/>
      <c r="II146" s="174"/>
      <c r="IJ146" s="174"/>
      <c r="IK146" s="174"/>
      <c r="IL146" s="174"/>
      <c r="IM146" s="174"/>
      <c r="IN146" s="174"/>
      <c r="IO146" s="174"/>
      <c r="IP146" s="174"/>
      <c r="IQ146" s="174"/>
      <c r="IR146" s="174"/>
      <c r="IS146" s="174"/>
      <c r="IT146" s="174"/>
      <c r="IU146" s="174"/>
      <c r="IV146" s="174"/>
    </row>
    <row r="147" spans="1:256" s="99" customFormat="1" ht="15" thickBot="1" x14ac:dyDescent="0.4">
      <c r="A147" s="706"/>
      <c r="B147" s="707"/>
      <c r="C147" s="707"/>
      <c r="D147" s="708">
        <f>SUM(D142:D146)</f>
        <v>2561884.81</v>
      </c>
      <c r="E147" s="708">
        <f t="shared" ref="E147:N147" si="17">SUM(E142:E146)</f>
        <v>0</v>
      </c>
      <c r="F147" s="708">
        <f t="shared" si="17"/>
        <v>0</v>
      </c>
      <c r="G147" s="708">
        <f t="shared" si="17"/>
        <v>0</v>
      </c>
      <c r="H147" s="708">
        <f t="shared" si="17"/>
        <v>2561884.81</v>
      </c>
      <c r="I147" s="708">
        <f t="shared" si="17"/>
        <v>-653512</v>
      </c>
      <c r="J147" s="708">
        <f t="shared" si="17"/>
        <v>0</v>
      </c>
      <c r="K147" s="708">
        <f t="shared" si="17"/>
        <v>-215036</v>
      </c>
      <c r="L147" s="708">
        <f t="shared" si="17"/>
        <v>-868548</v>
      </c>
      <c r="M147" s="708">
        <f t="shared" si="17"/>
        <v>1693336.81</v>
      </c>
      <c r="N147" s="709">
        <f t="shared" si="17"/>
        <v>1908372.81</v>
      </c>
      <c r="O147" s="710">
        <f>SUM(O142:O146)</f>
        <v>3564000</v>
      </c>
      <c r="P147" s="710">
        <f>SUM(P142:P146)</f>
        <v>825588</v>
      </c>
      <c r="Q147" s="711">
        <f>SUM(Q142:Q146)</f>
        <v>2738412</v>
      </c>
    </row>
    <row r="148" spans="1:256" s="99" customFormat="1" ht="15" thickBot="1" x14ac:dyDescent="0.4">
      <c r="O148" s="193"/>
      <c r="P148" s="193"/>
      <c r="Q148" s="193"/>
    </row>
    <row r="149" spans="1:256" s="99" customFormat="1" x14ac:dyDescent="0.35">
      <c r="A149" s="693">
        <v>4</v>
      </c>
      <c r="B149" s="712" t="s">
        <v>621</v>
      </c>
      <c r="C149" s="695"/>
      <c r="D149" s="695"/>
      <c r="E149" s="695"/>
      <c r="F149" s="695"/>
      <c r="G149" s="695"/>
      <c r="H149" s="695"/>
      <c r="I149" s="695"/>
      <c r="J149" s="695"/>
      <c r="K149" s="695"/>
      <c r="L149" s="695"/>
      <c r="M149" s="695"/>
      <c r="N149" s="696"/>
      <c r="O149" s="697"/>
      <c r="P149" s="697"/>
      <c r="Q149" s="698"/>
    </row>
    <row r="150" spans="1:256" s="175" customFormat="1" ht="15" thickBot="1" x14ac:dyDescent="0.4">
      <c r="A150" s="713">
        <v>10300353</v>
      </c>
      <c r="B150" s="714" t="s">
        <v>350</v>
      </c>
      <c r="C150" s="714" t="s">
        <v>288</v>
      </c>
      <c r="D150" s="715">
        <v>1012567</v>
      </c>
      <c r="E150" s="714">
        <v>0</v>
      </c>
      <c r="F150" s="714">
        <v>0</v>
      </c>
      <c r="G150" s="714">
        <v>0</v>
      </c>
      <c r="H150" s="715">
        <v>1012567</v>
      </c>
      <c r="I150" s="715">
        <v>-810059</v>
      </c>
      <c r="J150" s="714">
        <v>0</v>
      </c>
      <c r="K150" s="715">
        <v>-25314</v>
      </c>
      <c r="L150" s="715">
        <v>-835373</v>
      </c>
      <c r="M150" s="715">
        <v>177194</v>
      </c>
      <c r="N150" s="716">
        <v>202508</v>
      </c>
      <c r="O150" s="717">
        <v>8498000</v>
      </c>
      <c r="P150" s="717">
        <v>5328246</v>
      </c>
      <c r="Q150" s="718">
        <v>3169754</v>
      </c>
      <c r="R150" s="174"/>
      <c r="S150" s="174"/>
      <c r="T150" s="174"/>
      <c r="U150" s="174"/>
      <c r="V150" s="174"/>
      <c r="W150" s="174"/>
      <c r="X150" s="174"/>
      <c r="Y150" s="174"/>
      <c r="Z150" s="174"/>
      <c r="AA150" s="174"/>
      <c r="AB150" s="174"/>
      <c r="AC150" s="174"/>
      <c r="AD150" s="174"/>
      <c r="AE150" s="174"/>
      <c r="AF150" s="174"/>
      <c r="AG150" s="174"/>
      <c r="AH150" s="174"/>
      <c r="AI150" s="174"/>
      <c r="AJ150" s="174"/>
      <c r="AK150" s="174"/>
      <c r="AL150" s="174"/>
      <c r="AM150" s="174"/>
      <c r="AN150" s="174"/>
      <c r="AO150" s="174"/>
      <c r="AP150" s="174"/>
      <c r="AQ150" s="174"/>
      <c r="AR150" s="174"/>
      <c r="AS150" s="174"/>
      <c r="AT150" s="174"/>
      <c r="AU150" s="174"/>
      <c r="AV150" s="174"/>
      <c r="AW150" s="174"/>
      <c r="AX150" s="174"/>
      <c r="AY150" s="174"/>
      <c r="AZ150" s="174"/>
      <c r="BA150" s="174"/>
      <c r="BB150" s="174"/>
      <c r="BC150" s="174"/>
      <c r="BD150" s="174"/>
      <c r="BE150" s="174"/>
      <c r="BF150" s="174"/>
      <c r="BG150" s="174"/>
      <c r="BH150" s="174"/>
      <c r="BI150" s="174"/>
      <c r="BJ150" s="174"/>
      <c r="BK150" s="174"/>
      <c r="BL150" s="174"/>
      <c r="BM150" s="174"/>
      <c r="BN150" s="174"/>
      <c r="BO150" s="174"/>
      <c r="BP150" s="174"/>
      <c r="BQ150" s="174"/>
      <c r="BR150" s="174"/>
      <c r="BS150" s="174"/>
      <c r="BT150" s="174"/>
      <c r="BU150" s="174"/>
      <c r="BV150" s="174"/>
      <c r="BW150" s="174"/>
      <c r="BX150" s="174"/>
      <c r="BY150" s="174"/>
      <c r="BZ150" s="174"/>
      <c r="CA150" s="174"/>
      <c r="CB150" s="174"/>
      <c r="CC150" s="174"/>
      <c r="CD150" s="174"/>
      <c r="CE150" s="174"/>
      <c r="CF150" s="174"/>
      <c r="CG150" s="174"/>
      <c r="CH150" s="174"/>
      <c r="CI150" s="174"/>
      <c r="CJ150" s="174"/>
      <c r="CK150" s="174"/>
      <c r="CL150" s="174"/>
      <c r="CM150" s="174"/>
      <c r="CN150" s="174"/>
      <c r="CO150" s="174"/>
      <c r="CP150" s="174"/>
      <c r="CQ150" s="174"/>
      <c r="CR150" s="174"/>
      <c r="CS150" s="174"/>
      <c r="CT150" s="174"/>
      <c r="CU150" s="174"/>
      <c r="CV150" s="174"/>
      <c r="CW150" s="174"/>
      <c r="CX150" s="174"/>
      <c r="CY150" s="174"/>
      <c r="CZ150" s="174"/>
      <c r="DA150" s="174"/>
      <c r="DB150" s="174"/>
      <c r="DC150" s="174"/>
      <c r="DD150" s="174"/>
      <c r="DE150" s="174"/>
      <c r="DF150" s="174"/>
      <c r="DG150" s="174"/>
      <c r="DH150" s="174"/>
      <c r="DI150" s="174"/>
      <c r="DJ150" s="174"/>
      <c r="DK150" s="174"/>
      <c r="DL150" s="174"/>
      <c r="DM150" s="174"/>
      <c r="DN150" s="174"/>
      <c r="DO150" s="174"/>
      <c r="DP150" s="174"/>
      <c r="DQ150" s="174"/>
      <c r="DR150" s="174"/>
      <c r="DS150" s="174"/>
      <c r="DT150" s="174"/>
      <c r="DU150" s="174"/>
      <c r="DV150" s="174"/>
      <c r="DW150" s="174"/>
      <c r="DX150" s="174"/>
      <c r="DY150" s="174"/>
      <c r="DZ150" s="174"/>
      <c r="EA150" s="174"/>
      <c r="EB150" s="174"/>
      <c r="EC150" s="174"/>
      <c r="ED150" s="174"/>
      <c r="EE150" s="174"/>
      <c r="EF150" s="174"/>
      <c r="EG150" s="174"/>
      <c r="EH150" s="174"/>
      <c r="EI150" s="174"/>
      <c r="EJ150" s="174"/>
      <c r="EK150" s="174"/>
      <c r="EL150" s="174"/>
      <c r="EM150" s="174"/>
      <c r="EN150" s="174"/>
      <c r="EO150" s="174"/>
      <c r="EP150" s="174"/>
      <c r="EQ150" s="174"/>
      <c r="ER150" s="174"/>
      <c r="ES150" s="174"/>
      <c r="ET150" s="174"/>
      <c r="EU150" s="174"/>
      <c r="EV150" s="174"/>
      <c r="EW150" s="174"/>
      <c r="EX150" s="174"/>
      <c r="EY150" s="174"/>
      <c r="EZ150" s="174"/>
      <c r="FA150" s="174"/>
      <c r="FB150" s="174"/>
      <c r="FC150" s="174"/>
      <c r="FD150" s="174"/>
      <c r="FE150" s="174"/>
      <c r="FF150" s="174"/>
      <c r="FG150" s="174"/>
      <c r="FH150" s="174"/>
      <c r="FI150" s="174"/>
      <c r="FJ150" s="174"/>
      <c r="FK150" s="174"/>
      <c r="FL150" s="174"/>
      <c r="FM150" s="174"/>
      <c r="FN150" s="174"/>
      <c r="FO150" s="174"/>
      <c r="FP150" s="174"/>
      <c r="FQ150" s="174"/>
      <c r="FR150" s="174"/>
      <c r="FS150" s="174"/>
      <c r="FT150" s="174"/>
      <c r="FU150" s="174"/>
      <c r="FV150" s="174"/>
      <c r="FW150" s="174"/>
      <c r="FX150" s="174"/>
      <c r="FY150" s="174"/>
      <c r="FZ150" s="174"/>
      <c r="GA150" s="174"/>
      <c r="GB150" s="174"/>
      <c r="GC150" s="174"/>
      <c r="GD150" s="174"/>
      <c r="GE150" s="174"/>
      <c r="GF150" s="174"/>
      <c r="GG150" s="174"/>
      <c r="GH150" s="174"/>
      <c r="GI150" s="174"/>
      <c r="GJ150" s="174"/>
      <c r="GK150" s="174"/>
      <c r="GL150" s="174"/>
      <c r="GM150" s="174"/>
      <c r="GN150" s="174"/>
      <c r="GO150" s="174"/>
      <c r="GP150" s="174"/>
      <c r="GQ150" s="174"/>
      <c r="GR150" s="174"/>
      <c r="GS150" s="174"/>
      <c r="GT150" s="174"/>
      <c r="GU150" s="174"/>
      <c r="GV150" s="174"/>
      <c r="GW150" s="174"/>
      <c r="GX150" s="174"/>
      <c r="GY150" s="174"/>
      <c r="GZ150" s="174"/>
      <c r="HA150" s="174"/>
      <c r="HB150" s="174"/>
      <c r="HC150" s="174"/>
      <c r="HD150" s="174"/>
      <c r="HE150" s="174"/>
      <c r="HF150" s="174"/>
      <c r="HG150" s="174"/>
      <c r="HH150" s="174"/>
      <c r="HI150" s="174"/>
      <c r="HJ150" s="174"/>
      <c r="HK150" s="174"/>
      <c r="HL150" s="174"/>
      <c r="HM150" s="174"/>
      <c r="HN150" s="174"/>
      <c r="HO150" s="174"/>
      <c r="HP150" s="174"/>
      <c r="HQ150" s="174"/>
      <c r="HR150" s="174"/>
      <c r="HS150" s="174"/>
      <c r="HT150" s="174"/>
      <c r="HU150" s="174"/>
      <c r="HV150" s="174"/>
      <c r="HW150" s="174"/>
      <c r="HX150" s="174"/>
      <c r="HY150" s="174"/>
      <c r="HZ150" s="174"/>
      <c r="IA150" s="174"/>
      <c r="IB150" s="174"/>
      <c r="IC150" s="174"/>
      <c r="ID150" s="174"/>
      <c r="IE150" s="174"/>
      <c r="IF150" s="174"/>
      <c r="IG150" s="174"/>
      <c r="IH150" s="174"/>
      <c r="II150" s="174"/>
      <c r="IJ150" s="174"/>
      <c r="IK150" s="174"/>
      <c r="IL150" s="174"/>
      <c r="IM150" s="174"/>
      <c r="IN150" s="174"/>
      <c r="IO150" s="174"/>
      <c r="IP150" s="174"/>
      <c r="IQ150" s="174"/>
      <c r="IR150" s="174"/>
      <c r="IS150" s="174"/>
      <c r="IT150" s="174"/>
      <c r="IU150" s="174"/>
      <c r="IV150" s="174"/>
    </row>
    <row r="151" spans="1:256" s="99" customFormat="1" ht="15" thickBot="1" x14ac:dyDescent="0.4">
      <c r="O151" s="193"/>
      <c r="P151" s="193"/>
      <c r="Q151" s="193"/>
    </row>
    <row r="152" spans="1:256" s="99" customFormat="1" x14ac:dyDescent="0.35">
      <c r="A152" s="152">
        <v>5</v>
      </c>
      <c r="B152" s="172" t="s">
        <v>82</v>
      </c>
      <c r="C152" s="103"/>
      <c r="D152" s="103"/>
      <c r="E152" s="103"/>
      <c r="F152" s="103"/>
      <c r="G152" s="103"/>
      <c r="H152" s="103"/>
      <c r="I152" s="103"/>
      <c r="J152" s="103"/>
      <c r="K152" s="103"/>
      <c r="L152" s="103"/>
      <c r="M152" s="103"/>
      <c r="N152" s="104"/>
      <c r="O152" s="202"/>
      <c r="P152" s="202"/>
      <c r="Q152" s="195"/>
    </row>
    <row r="153" spans="1:256" s="99" customFormat="1" x14ac:dyDescent="0.35">
      <c r="A153" s="185">
        <v>10300342</v>
      </c>
      <c r="B153" s="90" t="s">
        <v>82</v>
      </c>
      <c r="C153" s="90" t="s">
        <v>279</v>
      </c>
      <c r="D153" s="91">
        <v>161933</v>
      </c>
      <c r="E153" s="90">
        <v>0</v>
      </c>
      <c r="F153" s="90">
        <v>0</v>
      </c>
      <c r="G153" s="90">
        <v>0</v>
      </c>
      <c r="H153" s="91">
        <v>161933</v>
      </c>
      <c r="I153" s="91">
        <v>-161932</v>
      </c>
      <c r="J153" s="90">
        <v>0</v>
      </c>
      <c r="K153" s="90">
        <v>0</v>
      </c>
      <c r="L153" s="91">
        <v>-161932</v>
      </c>
      <c r="M153" s="90">
        <v>1</v>
      </c>
      <c r="N153" s="165">
        <v>1</v>
      </c>
      <c r="O153" s="203">
        <v>8000</v>
      </c>
      <c r="P153" s="203">
        <v>0</v>
      </c>
      <c r="Q153" s="198">
        <v>8000</v>
      </c>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c r="IP153"/>
      <c r="IQ153"/>
      <c r="IR153"/>
      <c r="IS153"/>
      <c r="IT153"/>
      <c r="IU153"/>
      <c r="IV153"/>
    </row>
    <row r="154" spans="1:256" s="99" customFormat="1" x14ac:dyDescent="0.35">
      <c r="A154" s="185">
        <v>10300418</v>
      </c>
      <c r="B154" s="90" t="s">
        <v>351</v>
      </c>
      <c r="C154" s="90" t="s">
        <v>208</v>
      </c>
      <c r="D154" s="91">
        <v>285128</v>
      </c>
      <c r="E154" s="90">
        <v>0</v>
      </c>
      <c r="F154" s="90">
        <v>0</v>
      </c>
      <c r="G154" s="90">
        <v>0</v>
      </c>
      <c r="H154" s="91">
        <v>285128</v>
      </c>
      <c r="I154" s="91">
        <v>-65617</v>
      </c>
      <c r="J154" s="90">
        <v>0</v>
      </c>
      <c r="K154" s="91">
        <v>-7128</v>
      </c>
      <c r="L154" s="91">
        <v>-72745</v>
      </c>
      <c r="M154" s="91">
        <v>212383</v>
      </c>
      <c r="N154" s="155">
        <v>219511</v>
      </c>
      <c r="O154" s="203">
        <v>539000</v>
      </c>
      <c r="P154" s="203">
        <v>102410</v>
      </c>
      <c r="Q154" s="198">
        <v>436590</v>
      </c>
      <c r="R154"/>
      <c r="S154" s="85"/>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c r="IP154"/>
      <c r="IQ154"/>
      <c r="IR154"/>
      <c r="IS154"/>
      <c r="IT154"/>
      <c r="IU154"/>
      <c r="IV154"/>
    </row>
    <row r="155" spans="1:256" s="99" customFormat="1" ht="15" thickBot="1" x14ac:dyDescent="0.4">
      <c r="A155" s="113"/>
      <c r="B155" s="114"/>
      <c r="C155" s="114"/>
      <c r="D155" s="121">
        <f>SUM(D153:D154)</f>
        <v>447061</v>
      </c>
      <c r="E155" s="121">
        <f t="shared" ref="E155:M155" si="18">SUM(E153:E154)</f>
        <v>0</v>
      </c>
      <c r="F155" s="121">
        <f t="shared" si="18"/>
        <v>0</v>
      </c>
      <c r="G155" s="121">
        <f t="shared" si="18"/>
        <v>0</v>
      </c>
      <c r="H155" s="121">
        <f t="shared" si="18"/>
        <v>447061</v>
      </c>
      <c r="I155" s="121">
        <f t="shared" si="18"/>
        <v>-227549</v>
      </c>
      <c r="J155" s="121">
        <f t="shared" si="18"/>
        <v>0</v>
      </c>
      <c r="K155" s="121">
        <f t="shared" si="18"/>
        <v>-7128</v>
      </c>
      <c r="L155" s="121">
        <f t="shared" si="18"/>
        <v>-234677</v>
      </c>
      <c r="M155" s="121">
        <f t="shared" si="18"/>
        <v>212384</v>
      </c>
      <c r="N155" s="121">
        <f>SUM(N153:N154)</f>
        <v>219512</v>
      </c>
      <c r="O155" s="204">
        <f>SUM(O153:O154)</f>
        <v>547000</v>
      </c>
      <c r="P155" s="204">
        <f>SUM(P153:P154)</f>
        <v>102410</v>
      </c>
      <c r="Q155" s="197">
        <f>SUM(Q153:Q154)</f>
        <v>444590</v>
      </c>
    </row>
    <row r="156" spans="1:256" s="99" customFormat="1" ht="15" thickBot="1" x14ac:dyDescent="0.4">
      <c r="O156" s="193"/>
      <c r="P156" s="193"/>
      <c r="Q156" s="193"/>
    </row>
    <row r="157" spans="1:256" s="99" customFormat="1" x14ac:dyDescent="0.35">
      <c r="A157" s="152">
        <v>6</v>
      </c>
      <c r="B157" s="172" t="s">
        <v>84</v>
      </c>
      <c r="C157" s="103"/>
      <c r="D157" s="103"/>
      <c r="E157" s="103"/>
      <c r="F157" s="103"/>
      <c r="G157" s="103"/>
      <c r="H157" s="103"/>
      <c r="I157" s="103"/>
      <c r="J157" s="103"/>
      <c r="K157" s="103"/>
      <c r="L157" s="103"/>
      <c r="M157" s="103"/>
      <c r="N157" s="104"/>
      <c r="O157" s="202"/>
      <c r="P157" s="202"/>
      <c r="Q157" s="195"/>
    </row>
    <row r="158" spans="1:256" s="99" customFormat="1" ht="15" thickBot="1" x14ac:dyDescent="0.4">
      <c r="A158" s="146">
        <v>10300425</v>
      </c>
      <c r="B158" s="147" t="s">
        <v>84</v>
      </c>
      <c r="C158" s="147" t="s">
        <v>352</v>
      </c>
      <c r="D158" s="148">
        <v>16031067.51</v>
      </c>
      <c r="E158" s="147">
        <v>0</v>
      </c>
      <c r="F158" s="147">
        <v>0</v>
      </c>
      <c r="G158" s="147">
        <v>0</v>
      </c>
      <c r="H158" s="148">
        <v>16031067.51</v>
      </c>
      <c r="I158" s="148">
        <v>-2228975</v>
      </c>
      <c r="J158" s="147">
        <v>0</v>
      </c>
      <c r="K158" s="148">
        <v>-445308</v>
      </c>
      <c r="L158" s="148">
        <v>-2674283</v>
      </c>
      <c r="M158" s="148">
        <v>13356784.51</v>
      </c>
      <c r="N158" s="149">
        <v>13802092.51</v>
      </c>
      <c r="O158" s="205">
        <v>30329000</v>
      </c>
      <c r="P158" s="205">
        <v>5762510</v>
      </c>
      <c r="Q158" s="201">
        <v>24566490</v>
      </c>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c r="IP158"/>
      <c r="IQ158"/>
      <c r="IR158"/>
      <c r="IS158"/>
      <c r="IT158"/>
      <c r="IU158"/>
      <c r="IV158"/>
    </row>
    <row r="159" spans="1:256" s="99" customFormat="1" ht="17.25" customHeight="1" x14ac:dyDescent="0.35">
      <c r="O159" s="193"/>
      <c r="P159" s="193"/>
      <c r="Q159" s="193"/>
    </row>
    <row r="160" spans="1:256" s="99" customFormat="1" ht="20" thickBot="1" x14ac:dyDescent="0.4">
      <c r="A160" s="671" t="s">
        <v>86</v>
      </c>
      <c r="B160" s="671"/>
      <c r="O160" s="193"/>
      <c r="P160" s="193"/>
      <c r="Q160" s="193"/>
    </row>
    <row r="161" spans="1:17" s="100" customFormat="1" ht="15.5" x14ac:dyDescent="0.35">
      <c r="A161" s="117">
        <v>1</v>
      </c>
      <c r="B161" s="118" t="s">
        <v>87</v>
      </c>
      <c r="C161" s="119"/>
      <c r="D161" s="119"/>
      <c r="E161" s="119"/>
      <c r="F161" s="119"/>
      <c r="G161" s="119"/>
      <c r="H161" s="119"/>
      <c r="I161" s="119"/>
      <c r="J161" s="119"/>
      <c r="K161" s="119"/>
      <c r="L161" s="119"/>
      <c r="M161" s="119"/>
      <c r="N161" s="120"/>
      <c r="O161" s="206"/>
      <c r="P161" s="206"/>
      <c r="Q161" s="207"/>
    </row>
    <row r="162" spans="1:17" s="100" customFormat="1" ht="15" thickBot="1" x14ac:dyDescent="0.4">
      <c r="A162" s="107">
        <v>10700041</v>
      </c>
      <c r="B162" s="99" t="s">
        <v>228</v>
      </c>
      <c r="C162" s="99" t="s">
        <v>229</v>
      </c>
      <c r="D162" s="101">
        <v>9940193</v>
      </c>
      <c r="E162" s="99">
        <v>0</v>
      </c>
      <c r="F162" s="99">
        <v>0</v>
      </c>
      <c r="G162" s="99">
        <v>0</v>
      </c>
      <c r="H162" s="101">
        <f>SUM(D162:G162)</f>
        <v>9940193</v>
      </c>
      <c r="I162" s="101">
        <v>-7968881</v>
      </c>
      <c r="J162" s="99">
        <v>0</v>
      </c>
      <c r="K162" s="101">
        <v>-1242710</v>
      </c>
      <c r="L162" s="101">
        <f>SUM(I162:K162)</f>
        <v>-9211591</v>
      </c>
      <c r="M162" s="101">
        <f>H162+L162</f>
        <v>728602</v>
      </c>
      <c r="N162" s="109">
        <v>1971312</v>
      </c>
      <c r="O162" s="194">
        <v>25000000</v>
      </c>
      <c r="P162" s="193">
        <f>O162*0.95*8/8</f>
        <v>23750000</v>
      </c>
      <c r="Q162" s="209">
        <f>O162-P162</f>
        <v>1250000</v>
      </c>
    </row>
    <row r="163" spans="1:17" s="100" customFormat="1" ht="15.5" x14ac:dyDescent="0.35">
      <c r="A163" s="117">
        <v>2</v>
      </c>
      <c r="B163" s="118" t="s">
        <v>89</v>
      </c>
      <c r="C163" s="119"/>
      <c r="D163" s="119"/>
      <c r="E163" s="119"/>
      <c r="F163" s="119"/>
      <c r="G163" s="119"/>
      <c r="H163" s="119"/>
      <c r="I163" s="119"/>
      <c r="J163" s="119"/>
      <c r="K163" s="119"/>
      <c r="L163" s="119"/>
      <c r="M163" s="119"/>
      <c r="N163" s="120"/>
      <c r="O163" s="206"/>
      <c r="P163" s="206"/>
      <c r="Q163" s="207"/>
    </row>
    <row r="164" spans="1:17" s="99" customFormat="1" ht="15" thickBot="1" x14ac:dyDescent="0.4">
      <c r="A164" s="113">
        <v>10700042</v>
      </c>
      <c r="B164" s="114" t="s">
        <v>230</v>
      </c>
      <c r="C164" s="114" t="s">
        <v>231</v>
      </c>
      <c r="D164" s="115">
        <v>104307906.2</v>
      </c>
      <c r="E164" s="114">
        <v>0</v>
      </c>
      <c r="F164" s="114">
        <v>0</v>
      </c>
      <c r="G164" s="114">
        <v>0</v>
      </c>
      <c r="H164" s="115">
        <f>SUM(D164:G164)</f>
        <v>104307906.2</v>
      </c>
      <c r="I164" s="115">
        <f>-56497735+2</f>
        <v>-56497733</v>
      </c>
      <c r="J164" s="114">
        <v>0</v>
      </c>
      <c r="K164" s="115">
        <v>-10430791</v>
      </c>
      <c r="L164" s="115">
        <f>SUM(I164:K164)</f>
        <v>-66928524</v>
      </c>
      <c r="M164" s="115">
        <v>37379380.409999996</v>
      </c>
      <c r="N164" s="125">
        <v>47810171.409999996</v>
      </c>
      <c r="O164" s="204">
        <v>200000000</v>
      </c>
      <c r="P164" s="208">
        <f>O164*0.95*7/10</f>
        <v>133000000</v>
      </c>
      <c r="Q164" s="199">
        <f>O164-P164</f>
        <v>67000000</v>
      </c>
    </row>
    <row r="165" spans="1:17" s="99" customFormat="1" ht="15" thickBot="1" x14ac:dyDescent="0.4">
      <c r="O165" s="193"/>
      <c r="P165" s="193"/>
      <c r="Q165" s="193"/>
    </row>
    <row r="166" spans="1:17" s="100" customFormat="1" ht="15.5" x14ac:dyDescent="0.35">
      <c r="A166" s="117">
        <v>3</v>
      </c>
      <c r="B166" s="150" t="s">
        <v>380</v>
      </c>
      <c r="C166" s="119"/>
      <c r="D166" s="119"/>
      <c r="E166" s="119"/>
      <c r="F166" s="119"/>
      <c r="G166" s="119"/>
      <c r="H166" s="119"/>
      <c r="I166" s="119"/>
      <c r="J166" s="119"/>
      <c r="K166" s="119"/>
      <c r="L166" s="119"/>
      <c r="M166" s="119"/>
      <c r="N166" s="120"/>
      <c r="O166" s="206"/>
      <c r="P166" s="206"/>
      <c r="Q166" s="207"/>
    </row>
    <row r="167" spans="1:17" s="99" customFormat="1" x14ac:dyDescent="0.35">
      <c r="A167" s="107">
        <v>10700043</v>
      </c>
      <c r="B167" s="99" t="s">
        <v>232</v>
      </c>
      <c r="C167" s="99" t="s">
        <v>233</v>
      </c>
      <c r="D167" s="101">
        <v>2381349.63</v>
      </c>
      <c r="E167" s="99">
        <v>0</v>
      </c>
      <c r="F167" s="99">
        <v>0</v>
      </c>
      <c r="G167" s="99">
        <v>0</v>
      </c>
      <c r="H167" s="101">
        <f>SUM(D167:G167)</f>
        <v>2381349.63</v>
      </c>
      <c r="I167" s="101">
        <v>-1590285</v>
      </c>
      <c r="J167" s="99">
        <v>0</v>
      </c>
      <c r="K167" s="101">
        <v>-297669</v>
      </c>
      <c r="L167" s="101">
        <f>SUM(I167:K167)</f>
        <v>-1887954</v>
      </c>
      <c r="M167" s="101">
        <v>493395.63</v>
      </c>
      <c r="N167" s="109">
        <v>791064.63</v>
      </c>
      <c r="O167" s="193">
        <v>2500000</v>
      </c>
      <c r="P167" s="193">
        <f>O167*0.95*6/8</f>
        <v>1781250</v>
      </c>
      <c r="Q167" s="209">
        <f>O167-P167</f>
        <v>718750</v>
      </c>
    </row>
    <row r="168" spans="1:17" s="99" customFormat="1" x14ac:dyDescent="0.35">
      <c r="A168" s="107">
        <v>10700044</v>
      </c>
      <c r="B168" s="99" t="s">
        <v>234</v>
      </c>
      <c r="C168" s="99" t="s">
        <v>233</v>
      </c>
      <c r="D168" s="101">
        <v>2381349.63</v>
      </c>
      <c r="E168" s="99">
        <v>0</v>
      </c>
      <c r="F168" s="99">
        <v>0</v>
      </c>
      <c r="G168" s="99">
        <v>0</v>
      </c>
      <c r="H168" s="101">
        <f>SUM(D168:G168)</f>
        <v>2381349.63</v>
      </c>
      <c r="I168" s="101">
        <v>-1590285</v>
      </c>
      <c r="J168" s="99">
        <v>0</v>
      </c>
      <c r="K168" s="101">
        <v>-297669</v>
      </c>
      <c r="L168" s="101">
        <f>SUM(I168:K168)</f>
        <v>-1887954</v>
      </c>
      <c r="M168" s="101">
        <v>493395.63</v>
      </c>
      <c r="N168" s="109">
        <v>791064.63</v>
      </c>
      <c r="O168" s="193">
        <v>2500000</v>
      </c>
      <c r="P168" s="193">
        <f>O168*0.95*6/8</f>
        <v>1781250</v>
      </c>
      <c r="Q168" s="209">
        <f>O168-P168</f>
        <v>718750</v>
      </c>
    </row>
    <row r="169" spans="1:17" s="99" customFormat="1" ht="15" thickBot="1" x14ac:dyDescent="0.4">
      <c r="A169" s="113"/>
      <c r="B169" s="114"/>
      <c r="C169" s="114"/>
      <c r="D169" s="121">
        <f>SUM(D167:D168)</f>
        <v>4762699.26</v>
      </c>
      <c r="E169" s="121">
        <f t="shared" ref="E169:Q169" si="19">SUM(E167:E168)</f>
        <v>0</v>
      </c>
      <c r="F169" s="121">
        <f t="shared" si="19"/>
        <v>0</v>
      </c>
      <c r="G169" s="121">
        <f t="shared" si="19"/>
        <v>0</v>
      </c>
      <c r="H169" s="121">
        <f t="shared" si="19"/>
        <v>4762699.26</v>
      </c>
      <c r="I169" s="121">
        <f t="shared" si="19"/>
        <v>-3180570</v>
      </c>
      <c r="J169" s="121">
        <f t="shared" si="19"/>
        <v>0</v>
      </c>
      <c r="K169" s="121">
        <f t="shared" si="19"/>
        <v>-595338</v>
      </c>
      <c r="L169" s="121">
        <f t="shared" si="19"/>
        <v>-3775908</v>
      </c>
      <c r="M169" s="121">
        <f t="shared" si="19"/>
        <v>986791.26</v>
      </c>
      <c r="N169" s="122">
        <f t="shared" si="19"/>
        <v>1582129.26</v>
      </c>
      <c r="O169" s="121">
        <f t="shared" si="19"/>
        <v>5000000</v>
      </c>
      <c r="P169" s="121">
        <f t="shared" si="19"/>
        <v>3562500</v>
      </c>
      <c r="Q169" s="122">
        <f t="shared" si="19"/>
        <v>1437500</v>
      </c>
    </row>
    <row r="170" spans="1:17" s="99" customFormat="1" ht="15" thickBot="1" x14ac:dyDescent="0.4">
      <c r="D170" s="102"/>
      <c r="E170" s="102"/>
      <c r="F170" s="102"/>
      <c r="G170" s="102"/>
      <c r="H170" s="102"/>
      <c r="I170" s="102"/>
      <c r="J170" s="102"/>
      <c r="K170" s="102"/>
      <c r="L170" s="102"/>
      <c r="M170" s="102"/>
      <c r="N170" s="102"/>
      <c r="O170" s="193"/>
      <c r="P170" s="193"/>
      <c r="Q170" s="193"/>
    </row>
    <row r="171" spans="1:17" s="100" customFormat="1" ht="31" x14ac:dyDescent="0.35">
      <c r="A171" s="117">
        <v>4</v>
      </c>
      <c r="B171" s="118" t="s">
        <v>91</v>
      </c>
      <c r="C171" s="119"/>
      <c r="D171" s="119"/>
      <c r="E171" s="119"/>
      <c r="F171" s="119"/>
      <c r="G171" s="119"/>
      <c r="H171" s="119"/>
      <c r="I171" s="119"/>
      <c r="J171" s="119"/>
      <c r="K171" s="119"/>
      <c r="L171" s="119"/>
      <c r="M171" s="119"/>
      <c r="N171" s="120"/>
      <c r="O171" s="206"/>
      <c r="P171" s="206"/>
      <c r="Q171" s="207"/>
    </row>
    <row r="172" spans="1:17" s="99" customFormat="1" ht="15" thickBot="1" x14ac:dyDescent="0.4">
      <c r="A172" s="113">
        <v>10700050</v>
      </c>
      <c r="B172" s="114" t="s">
        <v>235</v>
      </c>
      <c r="C172" s="114" t="s">
        <v>236</v>
      </c>
      <c r="D172" s="115">
        <v>10513594</v>
      </c>
      <c r="E172" s="114">
        <v>0</v>
      </c>
      <c r="F172" s="114">
        <v>0</v>
      </c>
      <c r="G172" s="114">
        <v>0</v>
      </c>
      <c r="H172" s="115">
        <f>SUM(D172:G172)</f>
        <v>10513594</v>
      </c>
      <c r="I172" s="115">
        <v>-2178330</v>
      </c>
      <c r="J172" s="114">
        <v>0</v>
      </c>
      <c r="K172" s="115">
        <v>-1314199</v>
      </c>
      <c r="L172" s="115">
        <f>SUM(I172:K172)</f>
        <v>-3492529</v>
      </c>
      <c r="M172" s="115">
        <v>7021065</v>
      </c>
      <c r="N172" s="125">
        <v>8335264</v>
      </c>
      <c r="O172" s="204">
        <v>25000000</v>
      </c>
      <c r="P172" s="208">
        <f>O172*0.95*3/8</f>
        <v>8906250</v>
      </c>
      <c r="Q172" s="199">
        <f>O172-P172</f>
        <v>16093750</v>
      </c>
    </row>
    <row r="173" spans="1:17" s="99" customFormat="1" ht="15" thickBot="1" x14ac:dyDescent="0.4">
      <c r="O173" s="193"/>
      <c r="P173" s="193"/>
      <c r="Q173" s="193"/>
    </row>
    <row r="174" spans="1:17" s="100" customFormat="1" ht="31" x14ac:dyDescent="0.35">
      <c r="A174" s="117">
        <v>5</v>
      </c>
      <c r="B174" s="118" t="s">
        <v>381</v>
      </c>
      <c r="C174" s="119"/>
      <c r="D174" s="119"/>
      <c r="E174" s="119"/>
      <c r="F174" s="119"/>
      <c r="G174" s="119"/>
      <c r="H174" s="119"/>
      <c r="I174" s="119"/>
      <c r="J174" s="119"/>
      <c r="K174" s="119"/>
      <c r="L174" s="119"/>
      <c r="M174" s="119"/>
      <c r="N174" s="120"/>
      <c r="O174" s="206"/>
      <c r="P174" s="206"/>
      <c r="Q174" s="207"/>
    </row>
    <row r="175" spans="1:17" s="99" customFormat="1" x14ac:dyDescent="0.35">
      <c r="A175" s="107">
        <v>10700047</v>
      </c>
      <c r="B175" s="99" t="s">
        <v>237</v>
      </c>
      <c r="C175" s="99" t="s">
        <v>238</v>
      </c>
      <c r="D175" s="101">
        <v>403781</v>
      </c>
      <c r="E175" s="99">
        <v>0</v>
      </c>
      <c r="F175" s="99">
        <v>0</v>
      </c>
      <c r="G175" s="99">
        <v>0</v>
      </c>
      <c r="H175" s="101">
        <f>SUM(D175:G175)</f>
        <v>403781</v>
      </c>
      <c r="I175" s="101">
        <v>-71353</v>
      </c>
      <c r="J175" s="99">
        <v>0</v>
      </c>
      <c r="K175" s="101">
        <v>-50473</v>
      </c>
      <c r="L175" s="101">
        <f>SUM(I175:K175)</f>
        <v>-121826</v>
      </c>
      <c r="M175" s="101">
        <v>281955</v>
      </c>
      <c r="N175" s="109">
        <v>332428</v>
      </c>
      <c r="O175" s="193">
        <v>900000</v>
      </c>
      <c r="P175" s="193">
        <f>O175*0.95*3/8</f>
        <v>320625</v>
      </c>
      <c r="Q175" s="209">
        <f>O175-P175</f>
        <v>579375</v>
      </c>
    </row>
    <row r="176" spans="1:17" s="99" customFormat="1" x14ac:dyDescent="0.35">
      <c r="A176" s="107">
        <v>10700048</v>
      </c>
      <c r="B176" s="99" t="s">
        <v>239</v>
      </c>
      <c r="C176" s="99" t="s">
        <v>238</v>
      </c>
      <c r="D176" s="101">
        <v>403781</v>
      </c>
      <c r="E176" s="99">
        <v>0</v>
      </c>
      <c r="F176" s="99">
        <v>0</v>
      </c>
      <c r="G176" s="99">
        <v>0</v>
      </c>
      <c r="H176" s="101">
        <f>SUM(D176:G176)</f>
        <v>403781</v>
      </c>
      <c r="I176" s="101">
        <v>-71353</v>
      </c>
      <c r="J176" s="99">
        <v>0</v>
      </c>
      <c r="K176" s="101">
        <v>-50473</v>
      </c>
      <c r="L176" s="101">
        <f>SUM(I176:K176)</f>
        <v>-121826</v>
      </c>
      <c r="M176" s="101">
        <v>281955</v>
      </c>
      <c r="N176" s="109">
        <v>332428</v>
      </c>
      <c r="O176" s="193">
        <v>900000</v>
      </c>
      <c r="P176" s="193">
        <f>O176*0.95*3/8</f>
        <v>320625</v>
      </c>
      <c r="Q176" s="209">
        <f>O176-P176</f>
        <v>579375</v>
      </c>
    </row>
    <row r="177" spans="1:17" s="99" customFormat="1" ht="15" thickBot="1" x14ac:dyDescent="0.4">
      <c r="A177" s="113"/>
      <c r="B177" s="114"/>
      <c r="C177" s="114"/>
      <c r="D177" s="121">
        <f>SUM(D175:D176)</f>
        <v>807562</v>
      </c>
      <c r="E177" s="121">
        <f t="shared" ref="E177:Q177" si="20">SUM(E175:E176)</f>
        <v>0</v>
      </c>
      <c r="F177" s="121">
        <f t="shared" si="20"/>
        <v>0</v>
      </c>
      <c r="G177" s="121">
        <f t="shared" si="20"/>
        <v>0</v>
      </c>
      <c r="H177" s="121">
        <f t="shared" si="20"/>
        <v>807562</v>
      </c>
      <c r="I177" s="121">
        <f t="shared" si="20"/>
        <v>-142706</v>
      </c>
      <c r="J177" s="121">
        <f t="shared" si="20"/>
        <v>0</v>
      </c>
      <c r="K177" s="121">
        <f t="shared" si="20"/>
        <v>-100946</v>
      </c>
      <c r="L177" s="121">
        <f t="shared" si="20"/>
        <v>-243652</v>
      </c>
      <c r="M177" s="121">
        <f t="shared" si="20"/>
        <v>563910</v>
      </c>
      <c r="N177" s="122">
        <f t="shared" si="20"/>
        <v>664856</v>
      </c>
      <c r="O177" s="121">
        <f t="shared" si="20"/>
        <v>1800000</v>
      </c>
      <c r="P177" s="121">
        <f t="shared" si="20"/>
        <v>641250</v>
      </c>
      <c r="Q177" s="122">
        <f t="shared" si="20"/>
        <v>1158750</v>
      </c>
    </row>
    <row r="178" spans="1:17" s="99" customFormat="1" ht="15" thickBot="1" x14ac:dyDescent="0.4">
      <c r="D178" s="102"/>
      <c r="E178" s="102"/>
      <c r="F178" s="102"/>
      <c r="G178" s="102"/>
      <c r="H178" s="102"/>
      <c r="I178" s="102"/>
      <c r="J178" s="102"/>
      <c r="K178" s="102"/>
      <c r="L178" s="102"/>
      <c r="M178" s="102"/>
      <c r="N178" s="102"/>
      <c r="O178" s="193"/>
      <c r="P178" s="193"/>
      <c r="Q178" s="193"/>
    </row>
    <row r="179" spans="1:17" s="100" customFormat="1" ht="31" x14ac:dyDescent="0.35">
      <c r="A179" s="117">
        <v>6</v>
      </c>
      <c r="B179" s="118" t="s">
        <v>382</v>
      </c>
      <c r="C179" s="119"/>
      <c r="D179" s="119"/>
      <c r="E179" s="119"/>
      <c r="F179" s="119"/>
      <c r="G179" s="119"/>
      <c r="H179" s="119"/>
      <c r="I179" s="119"/>
      <c r="J179" s="119"/>
      <c r="K179" s="119"/>
      <c r="L179" s="119"/>
      <c r="M179" s="119"/>
      <c r="N179" s="120"/>
      <c r="O179" s="206"/>
      <c r="P179" s="206"/>
      <c r="Q179" s="207"/>
    </row>
    <row r="180" spans="1:17" s="99" customFormat="1" ht="15" thickBot="1" x14ac:dyDescent="0.4">
      <c r="A180" s="113">
        <v>10700049</v>
      </c>
      <c r="B180" s="114" t="s">
        <v>240</v>
      </c>
      <c r="C180" s="114" t="s">
        <v>238</v>
      </c>
      <c r="D180" s="115">
        <v>687227</v>
      </c>
      <c r="E180" s="114">
        <v>0</v>
      </c>
      <c r="F180" s="114">
        <v>0</v>
      </c>
      <c r="G180" s="114">
        <v>0</v>
      </c>
      <c r="H180" s="115">
        <f>SUM(D180:G180)</f>
        <v>687227</v>
      </c>
      <c r="I180" s="115">
        <v>-121441</v>
      </c>
      <c r="J180" s="114">
        <v>0</v>
      </c>
      <c r="K180" s="115">
        <v>-85903</v>
      </c>
      <c r="L180" s="115">
        <f>SUM(I180:K180)</f>
        <v>-207344</v>
      </c>
      <c r="M180" s="115">
        <v>479883</v>
      </c>
      <c r="N180" s="125">
        <v>565786</v>
      </c>
      <c r="O180" s="204">
        <v>1800000</v>
      </c>
      <c r="P180" s="208">
        <f>O180*0.95*3/8</f>
        <v>641250</v>
      </c>
      <c r="Q180" s="199">
        <f>O180-P180</f>
        <v>1158750</v>
      </c>
    </row>
    <row r="181" spans="1:17" s="99" customFormat="1" ht="15" thickBot="1" x14ac:dyDescent="0.4">
      <c r="O181" s="193"/>
      <c r="P181" s="193"/>
      <c r="Q181" s="193"/>
    </row>
    <row r="182" spans="1:17" s="100" customFormat="1" ht="15.5" x14ac:dyDescent="0.35">
      <c r="A182" s="117">
        <v>7</v>
      </c>
      <c r="B182" s="118" t="s">
        <v>94</v>
      </c>
      <c r="C182" s="119"/>
      <c r="D182" s="119"/>
      <c r="E182" s="119"/>
      <c r="F182" s="119"/>
      <c r="G182" s="119"/>
      <c r="H182" s="119"/>
      <c r="I182" s="119"/>
      <c r="J182" s="119"/>
      <c r="K182" s="119"/>
      <c r="L182" s="119"/>
      <c r="M182" s="119"/>
      <c r="N182" s="120"/>
      <c r="O182" s="206"/>
      <c r="P182" s="206"/>
      <c r="Q182" s="207"/>
    </row>
    <row r="183" spans="1:17" s="99" customFormat="1" ht="15" thickBot="1" x14ac:dyDescent="0.4">
      <c r="A183" s="113">
        <v>11000177</v>
      </c>
      <c r="B183" s="114" t="s">
        <v>241</v>
      </c>
      <c r="C183" s="114" t="s">
        <v>208</v>
      </c>
      <c r="D183" s="115">
        <v>183546150.33000001</v>
      </c>
      <c r="E183" s="114">
        <v>0</v>
      </c>
      <c r="F183" s="114">
        <v>0</v>
      </c>
      <c r="G183" s="114">
        <v>0</v>
      </c>
      <c r="H183" s="115">
        <f>SUM(D183:G183)</f>
        <v>183546150.33000001</v>
      </c>
      <c r="I183" s="115">
        <v>-84479281</v>
      </c>
      <c r="J183" s="114">
        <v>0</v>
      </c>
      <c r="K183" s="115">
        <v>-9177515</v>
      </c>
      <c r="L183" s="115">
        <f>SUM(I183:K183)</f>
        <v>-93656796</v>
      </c>
      <c r="M183" s="115">
        <v>89889354.329999998</v>
      </c>
      <c r="N183" s="125">
        <v>99066869.329999998</v>
      </c>
      <c r="O183" s="204">
        <v>183546150</v>
      </c>
      <c r="P183" s="208">
        <f>O183*0.95*11/25</f>
        <v>76722290.700000003</v>
      </c>
      <c r="Q183" s="199">
        <f>O183-P183</f>
        <v>106823859.3</v>
      </c>
    </row>
    <row r="184" spans="1:17" s="99" customFormat="1" ht="15" thickBot="1" x14ac:dyDescent="0.4">
      <c r="O184" s="193"/>
      <c r="P184" s="193"/>
      <c r="Q184" s="193"/>
    </row>
    <row r="185" spans="1:17" s="100" customFormat="1" x14ac:dyDescent="0.35">
      <c r="A185" s="117">
        <v>8</v>
      </c>
      <c r="B185" s="151" t="s">
        <v>95</v>
      </c>
      <c r="C185" s="119"/>
      <c r="D185" s="119"/>
      <c r="E185" s="119"/>
      <c r="F185" s="119"/>
      <c r="G185" s="119"/>
      <c r="H185" s="119"/>
      <c r="I185" s="119"/>
      <c r="J185" s="119"/>
      <c r="K185" s="119"/>
      <c r="L185" s="119"/>
      <c r="M185" s="119"/>
      <c r="N185" s="120"/>
      <c r="O185" s="206"/>
      <c r="P185" s="206"/>
      <c r="Q185" s="207"/>
    </row>
    <row r="186" spans="1:17" s="99" customFormat="1" ht="15" thickBot="1" x14ac:dyDescent="0.4">
      <c r="A186" s="113">
        <v>11000159</v>
      </c>
      <c r="B186" s="114" t="s">
        <v>95</v>
      </c>
      <c r="C186" s="114" t="s">
        <v>242</v>
      </c>
      <c r="D186" s="115">
        <v>52400000</v>
      </c>
      <c r="E186" s="114">
        <v>0</v>
      </c>
      <c r="F186" s="114">
        <v>0</v>
      </c>
      <c r="G186" s="114">
        <v>0</v>
      </c>
      <c r="H186" s="115">
        <f>SUM(D186:G186)</f>
        <v>52400000</v>
      </c>
      <c r="I186" s="115">
        <v>-22706898</v>
      </c>
      <c r="J186" s="114">
        <v>0</v>
      </c>
      <c r="K186" s="115">
        <v>-1497166</v>
      </c>
      <c r="L186" s="115">
        <f>SUM(I186:K186)</f>
        <v>-24204064</v>
      </c>
      <c r="M186" s="115">
        <v>28195936</v>
      </c>
      <c r="N186" s="125">
        <v>29693102</v>
      </c>
      <c r="O186" s="208">
        <v>75000000</v>
      </c>
      <c r="P186" s="208">
        <f>O186*0.95</f>
        <v>71250000</v>
      </c>
      <c r="Q186" s="199">
        <f>O186-P186</f>
        <v>3750000</v>
      </c>
    </row>
    <row r="187" spans="1:17" s="99" customFormat="1" ht="15" thickBot="1" x14ac:dyDescent="0.4">
      <c r="O187" s="193"/>
      <c r="P187" s="193"/>
      <c r="Q187" s="193"/>
    </row>
    <row r="188" spans="1:17" s="100" customFormat="1" x14ac:dyDescent="0.35">
      <c r="A188" s="117">
        <v>9</v>
      </c>
      <c r="B188" s="151" t="s">
        <v>96</v>
      </c>
      <c r="C188" s="119"/>
      <c r="D188" s="119"/>
      <c r="E188" s="119"/>
      <c r="F188" s="119"/>
      <c r="G188" s="119"/>
      <c r="H188" s="119"/>
      <c r="I188" s="119"/>
      <c r="J188" s="119"/>
      <c r="K188" s="119"/>
      <c r="L188" s="119"/>
      <c r="M188" s="119"/>
      <c r="N188" s="120"/>
      <c r="O188" s="206"/>
      <c r="P188" s="206"/>
      <c r="Q188" s="207"/>
    </row>
    <row r="189" spans="1:17" s="99" customFormat="1" ht="15" thickBot="1" x14ac:dyDescent="0.4">
      <c r="A189" s="113">
        <v>11000167</v>
      </c>
      <c r="B189" s="114" t="s">
        <v>96</v>
      </c>
      <c r="C189" s="114" t="s">
        <v>243</v>
      </c>
      <c r="D189" s="115">
        <v>2731598</v>
      </c>
      <c r="E189" s="114">
        <v>0</v>
      </c>
      <c r="F189" s="114">
        <v>0</v>
      </c>
      <c r="G189" s="114">
        <v>0</v>
      </c>
      <c r="H189" s="115">
        <f>SUM(D189:G189)</f>
        <v>2731598</v>
      </c>
      <c r="I189" s="115">
        <v>-937258</v>
      </c>
      <c r="J189" s="114">
        <v>0</v>
      </c>
      <c r="K189" s="115">
        <v>-69013</v>
      </c>
      <c r="L189" s="115">
        <f>SUM(I189:K189)</f>
        <v>-1006271</v>
      </c>
      <c r="M189" s="115">
        <v>1725327</v>
      </c>
      <c r="N189" s="125">
        <v>1794340</v>
      </c>
      <c r="O189" s="208">
        <v>10000000</v>
      </c>
      <c r="P189" s="208">
        <f>O189*0.95*15/30</f>
        <v>4750000</v>
      </c>
      <c r="Q189" s="199">
        <f>O189-P189</f>
        <v>5250000</v>
      </c>
    </row>
    <row r="190" spans="1:17" s="99" customFormat="1" ht="15" thickBot="1" x14ac:dyDescent="0.4">
      <c r="O190" s="193"/>
      <c r="P190" s="193"/>
      <c r="Q190" s="193"/>
    </row>
    <row r="191" spans="1:17" s="100" customFormat="1" x14ac:dyDescent="0.35">
      <c r="A191" s="117">
        <v>10</v>
      </c>
      <c r="B191" s="151" t="s">
        <v>97</v>
      </c>
      <c r="C191" s="119"/>
      <c r="D191" s="119"/>
      <c r="E191" s="119"/>
      <c r="F191" s="119"/>
      <c r="G191" s="119"/>
      <c r="H191" s="119"/>
      <c r="I191" s="119"/>
      <c r="J191" s="119"/>
      <c r="K191" s="119"/>
      <c r="L191" s="119"/>
      <c r="M191" s="119"/>
      <c r="N191" s="120"/>
      <c r="O191" s="206"/>
      <c r="P191" s="206"/>
      <c r="Q191" s="207"/>
    </row>
    <row r="192" spans="1:17" s="99" customFormat="1" ht="15" thickBot="1" x14ac:dyDescent="0.4">
      <c r="A192" s="113">
        <v>11000152</v>
      </c>
      <c r="B192" s="114" t="s">
        <v>97</v>
      </c>
      <c r="C192" s="114" t="s">
        <v>214</v>
      </c>
      <c r="D192" s="115">
        <v>6068816</v>
      </c>
      <c r="E192" s="114">
        <v>0</v>
      </c>
      <c r="F192" s="114">
        <v>0</v>
      </c>
      <c r="G192" s="114">
        <v>0</v>
      </c>
      <c r="H192" s="115">
        <f>SUM(D192:G192)</f>
        <v>6068816</v>
      </c>
      <c r="I192" s="115">
        <v>-2806381</v>
      </c>
      <c r="J192" s="114">
        <v>0</v>
      </c>
      <c r="K192" s="115">
        <v>-163122</v>
      </c>
      <c r="L192" s="115">
        <f>SUM(I192:K192)</f>
        <v>-2969503</v>
      </c>
      <c r="M192" s="115">
        <v>3099313</v>
      </c>
      <c r="N192" s="125">
        <v>3262435</v>
      </c>
      <c r="O192" s="204">
        <v>3000000</v>
      </c>
      <c r="P192" s="208">
        <f>O192*0.95</f>
        <v>2850000</v>
      </c>
      <c r="Q192" s="199">
        <f>O192-P192</f>
        <v>150000</v>
      </c>
    </row>
    <row r="193" spans="1:256" s="99" customFormat="1" ht="15" thickBot="1" x14ac:dyDescent="0.4">
      <c r="O193" s="193"/>
      <c r="P193" s="193"/>
      <c r="Q193" s="193"/>
    </row>
    <row r="194" spans="1:256" s="99" customFormat="1" x14ac:dyDescent="0.35">
      <c r="A194" s="152">
        <v>11</v>
      </c>
      <c r="B194" s="153" t="s">
        <v>98</v>
      </c>
      <c r="C194" s="103"/>
      <c r="D194" s="103"/>
      <c r="E194" s="103"/>
      <c r="F194" s="103"/>
      <c r="G194" s="103"/>
      <c r="H194" s="103"/>
      <c r="I194" s="103"/>
      <c r="J194" s="103"/>
      <c r="K194" s="103"/>
      <c r="L194" s="103"/>
      <c r="M194" s="103"/>
      <c r="N194" s="104"/>
      <c r="O194" s="202"/>
      <c r="P194" s="202"/>
      <c r="Q194" s="195"/>
    </row>
    <row r="195" spans="1:256" customFormat="1" x14ac:dyDescent="0.35">
      <c r="A195" s="154">
        <v>11000000</v>
      </c>
      <c r="B195" s="90" t="s">
        <v>353</v>
      </c>
      <c r="C195" s="90" t="s">
        <v>354</v>
      </c>
      <c r="D195" s="91">
        <v>3200723</v>
      </c>
      <c r="E195" s="90">
        <v>0</v>
      </c>
      <c r="F195" s="90">
        <v>0</v>
      </c>
      <c r="G195" s="90">
        <v>0</v>
      </c>
      <c r="H195" s="91">
        <v>3200723</v>
      </c>
      <c r="I195" s="91">
        <v>-3200722</v>
      </c>
      <c r="J195" s="90">
        <v>0</v>
      </c>
      <c r="K195" s="90">
        <v>0</v>
      </c>
      <c r="L195" s="91">
        <v>-3200722</v>
      </c>
      <c r="M195" s="90">
        <v>1</v>
      </c>
      <c r="N195" s="165">
        <v>1</v>
      </c>
      <c r="O195" s="203">
        <v>4000000</v>
      </c>
      <c r="P195" s="72">
        <v>3800000</v>
      </c>
      <c r="Q195" s="198">
        <v>200000</v>
      </c>
    </row>
    <row r="196" spans="1:256" customFormat="1" x14ac:dyDescent="0.35">
      <c r="A196" s="154">
        <v>11000004</v>
      </c>
      <c r="B196" s="90" t="s">
        <v>355</v>
      </c>
      <c r="C196" s="90" t="s">
        <v>356</v>
      </c>
      <c r="D196" s="91">
        <v>1047174</v>
      </c>
      <c r="E196" s="90">
        <v>0</v>
      </c>
      <c r="F196" s="90">
        <v>0</v>
      </c>
      <c r="G196" s="90">
        <v>0</v>
      </c>
      <c r="H196" s="91">
        <v>1047174</v>
      </c>
      <c r="I196" s="91">
        <v>-1047173</v>
      </c>
      <c r="J196" s="90">
        <v>0</v>
      </c>
      <c r="K196" s="90">
        <v>0</v>
      </c>
      <c r="L196" s="91">
        <v>-1047173</v>
      </c>
      <c r="M196" s="90">
        <v>1</v>
      </c>
      <c r="N196" s="165">
        <v>1</v>
      </c>
      <c r="O196" s="72">
        <v>131000</v>
      </c>
      <c r="P196" s="72">
        <v>1244500</v>
      </c>
      <c r="Q196" s="198">
        <v>65500</v>
      </c>
    </row>
    <row r="197" spans="1:256" s="99" customFormat="1" ht="15" thickBot="1" x14ac:dyDescent="0.4">
      <c r="A197" s="113"/>
      <c r="B197" s="114"/>
      <c r="C197" s="114"/>
      <c r="D197" s="121">
        <f>SUM(D195:D196)</f>
        <v>4247897</v>
      </c>
      <c r="E197" s="121">
        <f t="shared" ref="E197:N197" si="21">SUM(E195:E196)</f>
        <v>0</v>
      </c>
      <c r="F197" s="121">
        <f t="shared" si="21"/>
        <v>0</v>
      </c>
      <c r="G197" s="121">
        <f t="shared" si="21"/>
        <v>0</v>
      </c>
      <c r="H197" s="121">
        <f t="shared" si="21"/>
        <v>4247897</v>
      </c>
      <c r="I197" s="121">
        <f t="shared" si="21"/>
        <v>-4247895</v>
      </c>
      <c r="J197" s="121">
        <f t="shared" si="21"/>
        <v>0</v>
      </c>
      <c r="K197" s="121">
        <f t="shared" si="21"/>
        <v>0</v>
      </c>
      <c r="L197" s="121">
        <f t="shared" si="21"/>
        <v>-4247895</v>
      </c>
      <c r="M197" s="121">
        <f t="shared" si="21"/>
        <v>2</v>
      </c>
      <c r="N197" s="122">
        <f t="shared" si="21"/>
        <v>2</v>
      </c>
      <c r="O197" s="121">
        <f>SUM(O195:O196)</f>
        <v>4131000</v>
      </c>
      <c r="P197" s="121">
        <f>SUM(P195:P196)</f>
        <v>5044500</v>
      </c>
      <c r="Q197" s="122">
        <f>SUM(Q195:Q196)</f>
        <v>265500</v>
      </c>
    </row>
    <row r="198" spans="1:256" s="99" customFormat="1" ht="15" thickBot="1" x14ac:dyDescent="0.4">
      <c r="A198" s="107"/>
      <c r="D198" s="102"/>
      <c r="E198" s="102"/>
      <c r="F198" s="102"/>
      <c r="G198" s="102"/>
      <c r="H198" s="102"/>
      <c r="I198" s="102"/>
      <c r="J198" s="102"/>
      <c r="K198" s="102"/>
      <c r="L198" s="102"/>
      <c r="M198" s="102"/>
      <c r="N198" s="110"/>
      <c r="O198" s="102"/>
      <c r="P198" s="102"/>
      <c r="Q198" s="110"/>
    </row>
    <row r="199" spans="1:256" s="99" customFormat="1" x14ac:dyDescent="0.35">
      <c r="A199" s="117">
        <v>12</v>
      </c>
      <c r="B199" s="151" t="s">
        <v>97</v>
      </c>
      <c r="C199" s="119"/>
      <c r="D199" s="119"/>
      <c r="E199" s="119"/>
      <c r="F199" s="119"/>
      <c r="G199" s="119"/>
      <c r="H199" s="119"/>
      <c r="I199" s="119"/>
      <c r="J199" s="119"/>
      <c r="K199" s="119"/>
      <c r="L199" s="119"/>
      <c r="M199" s="119"/>
      <c r="N199" s="120"/>
      <c r="O199" s="206"/>
      <c r="P199" s="206"/>
      <c r="Q199" s="207"/>
    </row>
    <row r="200" spans="1:256" s="99" customFormat="1" ht="15" thickBot="1" x14ac:dyDescent="0.4">
      <c r="A200" s="113">
        <v>11000152</v>
      </c>
      <c r="B200" s="114" t="s">
        <v>383</v>
      </c>
      <c r="C200" s="114" t="s">
        <v>384</v>
      </c>
      <c r="D200" s="115">
        <v>6068816</v>
      </c>
      <c r="E200" s="114">
        <v>0</v>
      </c>
      <c r="F200" s="114">
        <v>0</v>
      </c>
      <c r="G200" s="114">
        <v>0</v>
      </c>
      <c r="H200" s="115">
        <v>57945859</v>
      </c>
      <c r="I200" s="115">
        <v>-2806381</v>
      </c>
      <c r="J200" s="114">
        <v>0</v>
      </c>
      <c r="K200" s="115">
        <v>-163122</v>
      </c>
      <c r="L200" s="115">
        <f>M200-H200</f>
        <v>-25376908</v>
      </c>
      <c r="M200" s="115">
        <v>32568951</v>
      </c>
      <c r="N200" s="125">
        <v>3262435</v>
      </c>
      <c r="O200" s="204">
        <v>68000000</v>
      </c>
      <c r="P200" s="208">
        <f>O200*0.95*9/30</f>
        <v>19380000</v>
      </c>
      <c r="Q200" s="199">
        <f>O200-P200</f>
        <v>48620000</v>
      </c>
    </row>
    <row r="201" spans="1:256" s="99" customFormat="1" ht="15" thickBot="1" x14ac:dyDescent="0.4">
      <c r="O201" s="193"/>
      <c r="P201" s="193"/>
      <c r="Q201" s="193"/>
    </row>
    <row r="202" spans="1:256" s="99" customFormat="1" x14ac:dyDescent="0.35">
      <c r="A202" s="152">
        <v>13</v>
      </c>
      <c r="B202" s="153" t="s">
        <v>100</v>
      </c>
      <c r="C202" s="103"/>
      <c r="D202" s="103"/>
      <c r="E202" s="103"/>
      <c r="F202" s="103"/>
      <c r="G202" s="103"/>
      <c r="H202" s="103"/>
      <c r="I202" s="103"/>
      <c r="J202" s="103"/>
      <c r="K202" s="103"/>
      <c r="L202" s="103"/>
      <c r="M202" s="103"/>
      <c r="N202" s="104"/>
      <c r="O202" s="202"/>
      <c r="P202" s="202"/>
      <c r="Q202" s="195"/>
    </row>
    <row r="203" spans="1:256" s="99" customFormat="1" x14ac:dyDescent="0.35">
      <c r="A203" s="154">
        <v>10900081</v>
      </c>
      <c r="B203" s="90" t="s">
        <v>272</v>
      </c>
      <c r="C203" s="90" t="s">
        <v>274</v>
      </c>
      <c r="D203" s="91">
        <v>10303268.039999999</v>
      </c>
      <c r="E203" s="90">
        <v>0</v>
      </c>
      <c r="F203" s="90">
        <v>0</v>
      </c>
      <c r="G203" s="90">
        <v>0</v>
      </c>
      <c r="H203" s="91">
        <v>10303268.039999999</v>
      </c>
      <c r="I203" s="91">
        <v>-3288177</v>
      </c>
      <c r="J203" s="90">
        <v>0</v>
      </c>
      <c r="K203" s="91">
        <v>-1029557</v>
      </c>
      <c r="L203" s="91">
        <v>-4317734</v>
      </c>
      <c r="M203" s="91">
        <v>5985534.04</v>
      </c>
      <c r="N203" s="155">
        <v>7015091.04</v>
      </c>
      <c r="O203" s="72">
        <v>15000000</v>
      </c>
      <c r="P203" s="193">
        <f>O203*0.95*4/10</f>
        <v>5700000</v>
      </c>
      <c r="Q203" s="209">
        <f>O203-P203</f>
        <v>9300000</v>
      </c>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c r="IP203"/>
      <c r="IQ203"/>
      <c r="IR203"/>
      <c r="IS203"/>
      <c r="IT203"/>
      <c r="IU203"/>
      <c r="IV203"/>
    </row>
    <row r="204" spans="1:256" s="99" customFormat="1" x14ac:dyDescent="0.35">
      <c r="A204" s="154">
        <v>10900082</v>
      </c>
      <c r="B204" s="90" t="s">
        <v>273</v>
      </c>
      <c r="C204" s="90" t="s">
        <v>274</v>
      </c>
      <c r="D204" s="91">
        <v>10303268.039999999</v>
      </c>
      <c r="E204" s="90">
        <v>0</v>
      </c>
      <c r="F204" s="90">
        <v>0</v>
      </c>
      <c r="G204" s="90">
        <v>0</v>
      </c>
      <c r="H204" s="91">
        <v>10303268.039999999</v>
      </c>
      <c r="I204" s="91">
        <v>-3288177</v>
      </c>
      <c r="J204" s="90">
        <v>0</v>
      </c>
      <c r="K204" s="91">
        <v>-1029557</v>
      </c>
      <c r="L204" s="91">
        <v>-4317734</v>
      </c>
      <c r="M204" s="91">
        <v>5985534.04</v>
      </c>
      <c r="N204" s="155">
        <v>7015091.04</v>
      </c>
      <c r="O204" s="72">
        <v>15000000</v>
      </c>
      <c r="P204" s="193">
        <f>O204*0.95*4/10</f>
        <v>5700000</v>
      </c>
      <c r="Q204" s="209">
        <f>O204-P204</f>
        <v>9300000</v>
      </c>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c r="IP204"/>
      <c r="IQ204"/>
      <c r="IR204"/>
      <c r="IS204"/>
      <c r="IT204"/>
      <c r="IU204"/>
      <c r="IV204"/>
    </row>
    <row r="205" spans="1:256" s="100" customFormat="1" ht="15" thickBot="1" x14ac:dyDescent="0.4">
      <c r="A205" s="156"/>
      <c r="B205" s="157"/>
      <c r="C205" s="157"/>
      <c r="D205" s="158">
        <f>SUM(D203:D204)</f>
        <v>20606536.079999998</v>
      </c>
      <c r="E205" s="158">
        <f t="shared" ref="E205:Q205" si="22">SUM(E203:E204)</f>
        <v>0</v>
      </c>
      <c r="F205" s="158">
        <f t="shared" si="22"/>
        <v>0</v>
      </c>
      <c r="G205" s="158">
        <f t="shared" si="22"/>
        <v>0</v>
      </c>
      <c r="H205" s="158">
        <f t="shared" si="22"/>
        <v>20606536.079999998</v>
      </c>
      <c r="I205" s="158">
        <f t="shared" si="22"/>
        <v>-6576354</v>
      </c>
      <c r="J205" s="158">
        <f t="shared" si="22"/>
        <v>0</v>
      </c>
      <c r="K205" s="158">
        <f t="shared" si="22"/>
        <v>-2059114</v>
      </c>
      <c r="L205" s="158">
        <f t="shared" si="22"/>
        <v>-8635468</v>
      </c>
      <c r="M205" s="158">
        <f t="shared" si="22"/>
        <v>11971068.08</v>
      </c>
      <c r="N205" s="159">
        <f t="shared" si="22"/>
        <v>14030182.08</v>
      </c>
      <c r="O205" s="158">
        <f t="shared" si="22"/>
        <v>30000000</v>
      </c>
      <c r="P205" s="158">
        <f t="shared" si="22"/>
        <v>11400000</v>
      </c>
      <c r="Q205" s="159">
        <f t="shared" si="22"/>
        <v>18600000</v>
      </c>
      <c r="R205" s="61"/>
      <c r="S205" s="61"/>
      <c r="T205" s="61"/>
      <c r="U205" s="61"/>
      <c r="V205" s="61"/>
      <c r="W205" s="61"/>
      <c r="X205" s="61"/>
      <c r="Y205" s="61"/>
      <c r="Z205" s="61"/>
      <c r="AA205" s="61"/>
      <c r="AB205" s="61"/>
      <c r="AC205" s="61"/>
      <c r="AD205" s="61"/>
      <c r="AE205" s="61"/>
      <c r="AF205" s="61"/>
      <c r="AG205" s="61"/>
      <c r="AH205" s="61"/>
      <c r="AI205" s="61"/>
      <c r="AJ205" s="61"/>
      <c r="AK205" s="61"/>
      <c r="AL205" s="61"/>
      <c r="AM205" s="61"/>
      <c r="AN205" s="61"/>
      <c r="AO205" s="61"/>
      <c r="AP205" s="61"/>
      <c r="AQ205" s="61"/>
      <c r="AR205" s="61"/>
      <c r="AS205" s="61"/>
      <c r="AT205" s="61"/>
      <c r="AU205" s="61"/>
      <c r="AV205" s="61"/>
      <c r="AW205" s="61"/>
      <c r="AX205" s="61"/>
      <c r="AY205" s="61"/>
      <c r="AZ205" s="61"/>
      <c r="BA205" s="61"/>
      <c r="BB205" s="61"/>
      <c r="BC205" s="61"/>
      <c r="BD205" s="61"/>
      <c r="BE205" s="61"/>
      <c r="BF205" s="61"/>
      <c r="BG205" s="61"/>
      <c r="BH205" s="61"/>
      <c r="BI205" s="61"/>
      <c r="BJ205" s="61"/>
      <c r="BK205" s="61"/>
      <c r="BL205" s="61"/>
      <c r="BM205" s="61"/>
      <c r="BN205" s="61"/>
      <c r="BO205" s="61"/>
      <c r="BP205" s="61"/>
      <c r="BQ205" s="61"/>
      <c r="BR205" s="61"/>
      <c r="BS205" s="61"/>
      <c r="BT205" s="61"/>
      <c r="BU205" s="61"/>
      <c r="BV205" s="61"/>
      <c r="BW205" s="61"/>
      <c r="BX205" s="61"/>
      <c r="BY205" s="61"/>
      <c r="BZ205" s="61"/>
      <c r="CA205" s="61"/>
      <c r="CB205" s="61"/>
      <c r="CC205" s="61"/>
      <c r="CD205" s="61"/>
      <c r="CE205" s="61"/>
      <c r="CF205" s="61"/>
      <c r="CG205" s="61"/>
      <c r="CH205" s="61"/>
      <c r="CI205" s="61"/>
      <c r="CJ205" s="61"/>
      <c r="CK205" s="61"/>
      <c r="CL205" s="61"/>
      <c r="CM205" s="61"/>
      <c r="CN205" s="61"/>
      <c r="CO205" s="61"/>
      <c r="CP205" s="61"/>
      <c r="CQ205" s="61"/>
      <c r="CR205" s="61"/>
      <c r="CS205" s="61"/>
      <c r="CT205" s="61"/>
      <c r="CU205" s="61"/>
      <c r="CV205" s="61"/>
      <c r="CW205" s="61"/>
      <c r="CX205" s="61"/>
      <c r="CY205" s="61"/>
      <c r="CZ205" s="61"/>
      <c r="DA205" s="61"/>
      <c r="DB205" s="61"/>
      <c r="DC205" s="61"/>
      <c r="DD205" s="61"/>
      <c r="DE205" s="61"/>
      <c r="DF205" s="61"/>
      <c r="DG205" s="61"/>
      <c r="DH205" s="61"/>
      <c r="DI205" s="61"/>
      <c r="DJ205" s="61"/>
      <c r="DK205" s="61"/>
      <c r="DL205" s="61"/>
      <c r="DM205" s="61"/>
      <c r="DN205" s="61"/>
      <c r="DO205" s="61"/>
      <c r="DP205" s="61"/>
      <c r="DQ205" s="61"/>
      <c r="DR205" s="61"/>
      <c r="DS205" s="61"/>
      <c r="DT205" s="61"/>
      <c r="DU205" s="61"/>
      <c r="DV205" s="61"/>
      <c r="DW205" s="61"/>
      <c r="DX205" s="61"/>
      <c r="DY205" s="61"/>
      <c r="DZ205" s="61"/>
      <c r="EA205" s="61"/>
      <c r="EB205" s="61"/>
      <c r="EC205" s="61"/>
      <c r="ED205" s="61"/>
      <c r="EE205" s="61"/>
      <c r="EF205" s="61"/>
      <c r="EG205" s="61"/>
      <c r="EH205" s="61"/>
      <c r="EI205" s="61"/>
      <c r="EJ205" s="61"/>
      <c r="EK205" s="61"/>
      <c r="EL205" s="61"/>
      <c r="EM205" s="61"/>
      <c r="EN205" s="61"/>
      <c r="EO205" s="61"/>
      <c r="EP205" s="61"/>
      <c r="EQ205" s="61"/>
      <c r="ER205" s="61"/>
      <c r="ES205" s="61"/>
      <c r="ET205" s="61"/>
      <c r="EU205" s="61"/>
      <c r="EV205" s="61"/>
      <c r="EW205" s="61"/>
      <c r="EX205" s="61"/>
      <c r="EY205" s="61"/>
      <c r="EZ205" s="61"/>
      <c r="FA205" s="61"/>
      <c r="FB205" s="61"/>
      <c r="FC205" s="61"/>
      <c r="FD205" s="61"/>
      <c r="FE205" s="61"/>
      <c r="FF205" s="61"/>
      <c r="FG205" s="61"/>
      <c r="FH205" s="61"/>
      <c r="FI205" s="61"/>
      <c r="FJ205" s="61"/>
      <c r="FK205" s="61"/>
      <c r="FL205" s="61"/>
      <c r="FM205" s="61"/>
      <c r="FN205" s="61"/>
      <c r="FO205" s="61"/>
      <c r="FP205" s="61"/>
      <c r="FQ205" s="61"/>
      <c r="FR205" s="61"/>
      <c r="FS205" s="61"/>
      <c r="FT205" s="61"/>
      <c r="FU205" s="61"/>
      <c r="FV205" s="61"/>
      <c r="FW205" s="61"/>
      <c r="FX205" s="61"/>
      <c r="FY205" s="61"/>
      <c r="FZ205" s="61"/>
      <c r="GA205" s="61"/>
      <c r="GB205" s="61"/>
      <c r="GC205" s="61"/>
      <c r="GD205" s="61"/>
      <c r="GE205" s="61"/>
      <c r="GF205" s="61"/>
      <c r="GG205" s="61"/>
      <c r="GH205" s="61"/>
      <c r="GI205" s="61"/>
      <c r="GJ205" s="61"/>
      <c r="GK205" s="61"/>
      <c r="GL205" s="61"/>
      <c r="GM205" s="61"/>
      <c r="GN205" s="61"/>
      <c r="GO205" s="61"/>
      <c r="GP205" s="61"/>
      <c r="GQ205" s="61"/>
      <c r="GR205" s="61"/>
      <c r="GS205" s="61"/>
      <c r="GT205" s="61"/>
      <c r="GU205" s="61"/>
      <c r="GV205" s="61"/>
      <c r="GW205" s="61"/>
      <c r="GX205" s="61"/>
      <c r="GY205" s="61"/>
      <c r="GZ205" s="61"/>
      <c r="HA205" s="61"/>
      <c r="HB205" s="61"/>
      <c r="HC205" s="61"/>
      <c r="HD205" s="61"/>
      <c r="HE205" s="61"/>
      <c r="HF205" s="61"/>
      <c r="HG205" s="61"/>
      <c r="HH205" s="61"/>
      <c r="HI205" s="61"/>
      <c r="HJ205" s="61"/>
      <c r="HK205" s="61"/>
      <c r="HL205" s="61"/>
      <c r="HM205" s="61"/>
      <c r="HN205" s="61"/>
      <c r="HO205" s="61"/>
      <c r="HP205" s="61"/>
      <c r="HQ205" s="61"/>
      <c r="HR205" s="61"/>
      <c r="HS205" s="61"/>
      <c r="HT205" s="61"/>
      <c r="HU205" s="61"/>
      <c r="HV205" s="61"/>
      <c r="HW205" s="61"/>
      <c r="HX205" s="61"/>
      <c r="HY205" s="61"/>
      <c r="HZ205" s="61"/>
      <c r="IA205" s="61"/>
      <c r="IB205" s="61"/>
      <c r="IC205" s="61"/>
      <c r="ID205" s="61"/>
      <c r="IE205" s="61"/>
      <c r="IF205" s="61"/>
      <c r="IG205" s="61"/>
      <c r="IH205" s="61"/>
      <c r="II205" s="61"/>
      <c r="IJ205" s="61"/>
      <c r="IK205" s="61"/>
      <c r="IL205" s="61"/>
      <c r="IM205" s="61"/>
      <c r="IN205" s="61"/>
      <c r="IO205" s="61"/>
      <c r="IP205" s="61"/>
      <c r="IQ205" s="61"/>
      <c r="IR205" s="61"/>
      <c r="IS205" s="61"/>
      <c r="IT205" s="61"/>
      <c r="IU205" s="61"/>
      <c r="IV205" s="61"/>
    </row>
    <row r="206" spans="1:256" s="100" customFormat="1" ht="15" thickBot="1" x14ac:dyDescent="0.4">
      <c r="A206" s="237"/>
      <c r="B206" s="237"/>
      <c r="C206" s="237"/>
      <c r="D206" s="238"/>
      <c r="E206" s="238"/>
      <c r="F206" s="238"/>
      <c r="G206" s="238"/>
      <c r="H206" s="238"/>
      <c r="I206" s="238"/>
      <c r="J206" s="238"/>
      <c r="K206" s="238"/>
      <c r="L206" s="238"/>
      <c r="M206" s="238"/>
      <c r="N206" s="238"/>
      <c r="O206" s="238"/>
      <c r="P206" s="238"/>
      <c r="Q206" s="238"/>
      <c r="R206" s="61"/>
      <c r="S206" s="61"/>
      <c r="T206" s="61"/>
      <c r="U206" s="61"/>
      <c r="V206" s="61"/>
      <c r="W206" s="61"/>
      <c r="X206" s="61"/>
      <c r="Y206" s="61"/>
      <c r="Z206" s="61"/>
      <c r="AA206" s="61"/>
      <c r="AB206" s="61"/>
      <c r="AC206" s="61"/>
      <c r="AD206" s="61"/>
      <c r="AE206" s="61"/>
      <c r="AF206" s="61"/>
      <c r="AG206" s="61"/>
      <c r="AH206" s="61"/>
      <c r="AI206" s="61"/>
      <c r="AJ206" s="61"/>
      <c r="AK206" s="61"/>
      <c r="AL206" s="61"/>
      <c r="AM206" s="61"/>
      <c r="AN206" s="61"/>
      <c r="AO206" s="61"/>
      <c r="AP206" s="61"/>
      <c r="AQ206" s="61"/>
      <c r="AR206" s="61"/>
      <c r="AS206" s="61"/>
      <c r="AT206" s="61"/>
      <c r="AU206" s="61"/>
      <c r="AV206" s="61"/>
      <c r="AW206" s="61"/>
      <c r="AX206" s="61"/>
      <c r="AY206" s="61"/>
      <c r="AZ206" s="61"/>
      <c r="BA206" s="61"/>
      <c r="BB206" s="61"/>
      <c r="BC206" s="61"/>
      <c r="BD206" s="61"/>
      <c r="BE206" s="61"/>
      <c r="BF206" s="61"/>
      <c r="BG206" s="61"/>
      <c r="BH206" s="61"/>
      <c r="BI206" s="61"/>
      <c r="BJ206" s="61"/>
      <c r="BK206" s="61"/>
      <c r="BL206" s="61"/>
      <c r="BM206" s="61"/>
      <c r="BN206" s="61"/>
      <c r="BO206" s="61"/>
      <c r="BP206" s="61"/>
      <c r="BQ206" s="61"/>
      <c r="BR206" s="61"/>
      <c r="BS206" s="61"/>
      <c r="BT206" s="61"/>
      <c r="BU206" s="61"/>
      <c r="BV206" s="61"/>
      <c r="BW206" s="61"/>
      <c r="BX206" s="61"/>
      <c r="BY206" s="61"/>
      <c r="BZ206" s="61"/>
      <c r="CA206" s="61"/>
      <c r="CB206" s="61"/>
      <c r="CC206" s="61"/>
      <c r="CD206" s="61"/>
      <c r="CE206" s="61"/>
      <c r="CF206" s="61"/>
      <c r="CG206" s="61"/>
      <c r="CH206" s="61"/>
      <c r="CI206" s="61"/>
      <c r="CJ206" s="61"/>
      <c r="CK206" s="61"/>
      <c r="CL206" s="61"/>
      <c r="CM206" s="61"/>
      <c r="CN206" s="61"/>
      <c r="CO206" s="61"/>
      <c r="CP206" s="61"/>
      <c r="CQ206" s="61"/>
      <c r="CR206" s="61"/>
      <c r="CS206" s="61"/>
      <c r="CT206" s="61"/>
      <c r="CU206" s="61"/>
      <c r="CV206" s="61"/>
      <c r="CW206" s="61"/>
      <c r="CX206" s="61"/>
      <c r="CY206" s="61"/>
      <c r="CZ206" s="61"/>
      <c r="DA206" s="61"/>
      <c r="DB206" s="61"/>
      <c r="DC206" s="61"/>
      <c r="DD206" s="61"/>
      <c r="DE206" s="61"/>
      <c r="DF206" s="61"/>
      <c r="DG206" s="61"/>
      <c r="DH206" s="61"/>
      <c r="DI206" s="61"/>
      <c r="DJ206" s="61"/>
      <c r="DK206" s="61"/>
      <c r="DL206" s="61"/>
      <c r="DM206" s="61"/>
      <c r="DN206" s="61"/>
      <c r="DO206" s="61"/>
      <c r="DP206" s="61"/>
      <c r="DQ206" s="61"/>
      <c r="DR206" s="61"/>
      <c r="DS206" s="61"/>
      <c r="DT206" s="61"/>
      <c r="DU206" s="61"/>
      <c r="DV206" s="61"/>
      <c r="DW206" s="61"/>
      <c r="DX206" s="61"/>
      <c r="DY206" s="61"/>
      <c r="DZ206" s="61"/>
      <c r="EA206" s="61"/>
      <c r="EB206" s="61"/>
      <c r="EC206" s="61"/>
      <c r="ED206" s="61"/>
      <c r="EE206" s="61"/>
      <c r="EF206" s="61"/>
      <c r="EG206" s="61"/>
      <c r="EH206" s="61"/>
      <c r="EI206" s="61"/>
      <c r="EJ206" s="61"/>
      <c r="EK206" s="61"/>
      <c r="EL206" s="61"/>
      <c r="EM206" s="61"/>
      <c r="EN206" s="61"/>
      <c r="EO206" s="61"/>
      <c r="EP206" s="61"/>
      <c r="EQ206" s="61"/>
      <c r="ER206" s="61"/>
      <c r="ES206" s="61"/>
      <c r="ET206" s="61"/>
      <c r="EU206" s="61"/>
      <c r="EV206" s="61"/>
      <c r="EW206" s="61"/>
      <c r="EX206" s="61"/>
      <c r="EY206" s="61"/>
      <c r="EZ206" s="61"/>
      <c r="FA206" s="61"/>
      <c r="FB206" s="61"/>
      <c r="FC206" s="61"/>
      <c r="FD206" s="61"/>
      <c r="FE206" s="61"/>
      <c r="FF206" s="61"/>
      <c r="FG206" s="61"/>
      <c r="FH206" s="61"/>
      <c r="FI206" s="61"/>
      <c r="FJ206" s="61"/>
      <c r="FK206" s="61"/>
      <c r="FL206" s="61"/>
      <c r="FM206" s="61"/>
      <c r="FN206" s="61"/>
      <c r="FO206" s="61"/>
      <c r="FP206" s="61"/>
      <c r="FQ206" s="61"/>
      <c r="FR206" s="61"/>
      <c r="FS206" s="61"/>
      <c r="FT206" s="61"/>
      <c r="FU206" s="61"/>
      <c r="FV206" s="61"/>
      <c r="FW206" s="61"/>
      <c r="FX206" s="61"/>
      <c r="FY206" s="61"/>
      <c r="FZ206" s="61"/>
      <c r="GA206" s="61"/>
      <c r="GB206" s="61"/>
      <c r="GC206" s="61"/>
      <c r="GD206" s="61"/>
      <c r="GE206" s="61"/>
      <c r="GF206" s="61"/>
      <c r="GG206" s="61"/>
      <c r="GH206" s="61"/>
      <c r="GI206" s="61"/>
      <c r="GJ206" s="61"/>
      <c r="GK206" s="61"/>
      <c r="GL206" s="61"/>
      <c r="GM206" s="61"/>
      <c r="GN206" s="61"/>
      <c r="GO206" s="61"/>
      <c r="GP206" s="61"/>
      <c r="GQ206" s="61"/>
      <c r="GR206" s="61"/>
      <c r="GS206" s="61"/>
      <c r="GT206" s="61"/>
      <c r="GU206" s="61"/>
      <c r="GV206" s="61"/>
      <c r="GW206" s="61"/>
      <c r="GX206" s="61"/>
      <c r="GY206" s="61"/>
      <c r="GZ206" s="61"/>
      <c r="HA206" s="61"/>
      <c r="HB206" s="61"/>
      <c r="HC206" s="61"/>
      <c r="HD206" s="61"/>
      <c r="HE206" s="61"/>
      <c r="HF206" s="61"/>
      <c r="HG206" s="61"/>
      <c r="HH206" s="61"/>
      <c r="HI206" s="61"/>
      <c r="HJ206" s="61"/>
      <c r="HK206" s="61"/>
      <c r="HL206" s="61"/>
      <c r="HM206" s="61"/>
      <c r="HN206" s="61"/>
      <c r="HO206" s="61"/>
      <c r="HP206" s="61"/>
      <c r="HQ206" s="61"/>
      <c r="HR206" s="61"/>
      <c r="HS206" s="61"/>
      <c r="HT206" s="61"/>
      <c r="HU206" s="61"/>
      <c r="HV206" s="61"/>
      <c r="HW206" s="61"/>
      <c r="HX206" s="61"/>
      <c r="HY206" s="61"/>
      <c r="HZ206" s="61"/>
      <c r="IA206" s="61"/>
      <c r="IB206" s="61"/>
      <c r="IC206" s="61"/>
      <c r="ID206" s="61"/>
      <c r="IE206" s="61"/>
      <c r="IF206" s="61"/>
      <c r="IG206" s="61"/>
      <c r="IH206" s="61"/>
      <c r="II206" s="61"/>
      <c r="IJ206" s="61"/>
      <c r="IK206" s="61"/>
      <c r="IL206" s="61"/>
      <c r="IM206" s="61"/>
      <c r="IN206" s="61"/>
      <c r="IO206" s="61"/>
      <c r="IP206" s="61"/>
      <c r="IQ206" s="61"/>
      <c r="IR206" s="61"/>
      <c r="IS206" s="61"/>
      <c r="IT206" s="61"/>
      <c r="IU206" s="61"/>
      <c r="IV206" s="61"/>
    </row>
    <row r="207" spans="1:256" s="100" customFormat="1" x14ac:dyDescent="0.35">
      <c r="A207" s="117">
        <v>14</v>
      </c>
      <c r="B207" s="151" t="s">
        <v>385</v>
      </c>
      <c r="C207" s="119"/>
      <c r="D207" s="119"/>
      <c r="E207" s="119"/>
      <c r="F207" s="119"/>
      <c r="G207" s="119"/>
      <c r="H207" s="119"/>
      <c r="I207" s="119"/>
      <c r="J207" s="119"/>
      <c r="K207" s="119"/>
      <c r="L207" s="119"/>
      <c r="M207" s="119"/>
      <c r="N207" s="120"/>
      <c r="O207" s="206"/>
      <c r="P207" s="206"/>
      <c r="Q207" s="207"/>
      <c r="R207" s="61"/>
      <c r="S207" s="61"/>
      <c r="T207" s="61"/>
      <c r="U207" s="61"/>
      <c r="V207" s="61"/>
      <c r="W207" s="61"/>
      <c r="X207" s="61"/>
      <c r="Y207" s="61"/>
      <c r="Z207" s="61"/>
      <c r="AA207" s="61"/>
      <c r="AB207" s="61"/>
      <c r="AC207" s="61"/>
      <c r="AD207" s="61"/>
      <c r="AE207" s="61"/>
      <c r="AF207" s="61"/>
      <c r="AG207" s="61"/>
      <c r="AH207" s="61"/>
      <c r="AI207" s="61"/>
      <c r="AJ207" s="61"/>
      <c r="AK207" s="61"/>
      <c r="AL207" s="61"/>
      <c r="AM207" s="61"/>
      <c r="AN207" s="61"/>
      <c r="AO207" s="61"/>
      <c r="AP207" s="61"/>
      <c r="AQ207" s="61"/>
      <c r="AR207" s="61"/>
      <c r="AS207" s="61"/>
      <c r="AT207" s="61"/>
      <c r="AU207" s="61"/>
      <c r="AV207" s="61"/>
      <c r="AW207" s="61"/>
      <c r="AX207" s="61"/>
      <c r="AY207" s="61"/>
      <c r="AZ207" s="61"/>
      <c r="BA207" s="61"/>
      <c r="BB207" s="61"/>
      <c r="BC207" s="61"/>
      <c r="BD207" s="61"/>
      <c r="BE207" s="61"/>
      <c r="BF207" s="61"/>
      <c r="BG207" s="61"/>
      <c r="BH207" s="61"/>
      <c r="BI207" s="61"/>
      <c r="BJ207" s="61"/>
      <c r="BK207" s="61"/>
      <c r="BL207" s="61"/>
      <c r="BM207" s="61"/>
      <c r="BN207" s="61"/>
      <c r="BO207" s="61"/>
      <c r="BP207" s="61"/>
      <c r="BQ207" s="61"/>
      <c r="BR207" s="61"/>
      <c r="BS207" s="61"/>
      <c r="BT207" s="61"/>
      <c r="BU207" s="61"/>
      <c r="BV207" s="61"/>
      <c r="BW207" s="61"/>
      <c r="BX207" s="61"/>
      <c r="BY207" s="61"/>
      <c r="BZ207" s="61"/>
      <c r="CA207" s="61"/>
      <c r="CB207" s="61"/>
      <c r="CC207" s="61"/>
      <c r="CD207" s="61"/>
      <c r="CE207" s="61"/>
      <c r="CF207" s="61"/>
      <c r="CG207" s="61"/>
      <c r="CH207" s="61"/>
      <c r="CI207" s="61"/>
      <c r="CJ207" s="61"/>
      <c r="CK207" s="61"/>
      <c r="CL207" s="61"/>
      <c r="CM207" s="61"/>
      <c r="CN207" s="61"/>
      <c r="CO207" s="61"/>
      <c r="CP207" s="61"/>
      <c r="CQ207" s="61"/>
      <c r="CR207" s="61"/>
      <c r="CS207" s="61"/>
      <c r="CT207" s="61"/>
      <c r="CU207" s="61"/>
      <c r="CV207" s="61"/>
      <c r="CW207" s="61"/>
      <c r="CX207" s="61"/>
      <c r="CY207" s="61"/>
      <c r="CZ207" s="61"/>
      <c r="DA207" s="61"/>
      <c r="DB207" s="61"/>
      <c r="DC207" s="61"/>
      <c r="DD207" s="61"/>
      <c r="DE207" s="61"/>
      <c r="DF207" s="61"/>
      <c r="DG207" s="61"/>
      <c r="DH207" s="61"/>
      <c r="DI207" s="61"/>
      <c r="DJ207" s="61"/>
      <c r="DK207" s="61"/>
      <c r="DL207" s="61"/>
      <c r="DM207" s="61"/>
      <c r="DN207" s="61"/>
      <c r="DO207" s="61"/>
      <c r="DP207" s="61"/>
      <c r="DQ207" s="61"/>
      <c r="DR207" s="61"/>
      <c r="DS207" s="61"/>
      <c r="DT207" s="61"/>
      <c r="DU207" s="61"/>
      <c r="DV207" s="61"/>
      <c r="DW207" s="61"/>
      <c r="DX207" s="61"/>
      <c r="DY207" s="61"/>
      <c r="DZ207" s="61"/>
      <c r="EA207" s="61"/>
      <c r="EB207" s="61"/>
      <c r="EC207" s="61"/>
      <c r="ED207" s="61"/>
      <c r="EE207" s="61"/>
      <c r="EF207" s="61"/>
      <c r="EG207" s="61"/>
      <c r="EH207" s="61"/>
      <c r="EI207" s="61"/>
      <c r="EJ207" s="61"/>
      <c r="EK207" s="61"/>
      <c r="EL207" s="61"/>
      <c r="EM207" s="61"/>
      <c r="EN207" s="61"/>
      <c r="EO207" s="61"/>
      <c r="EP207" s="61"/>
      <c r="EQ207" s="61"/>
      <c r="ER207" s="61"/>
      <c r="ES207" s="61"/>
      <c r="ET207" s="61"/>
      <c r="EU207" s="61"/>
      <c r="EV207" s="61"/>
      <c r="EW207" s="61"/>
      <c r="EX207" s="61"/>
      <c r="EY207" s="61"/>
      <c r="EZ207" s="61"/>
      <c r="FA207" s="61"/>
      <c r="FB207" s="61"/>
      <c r="FC207" s="61"/>
      <c r="FD207" s="61"/>
      <c r="FE207" s="61"/>
      <c r="FF207" s="61"/>
      <c r="FG207" s="61"/>
      <c r="FH207" s="61"/>
      <c r="FI207" s="61"/>
      <c r="FJ207" s="61"/>
      <c r="FK207" s="61"/>
      <c r="FL207" s="61"/>
      <c r="FM207" s="61"/>
      <c r="FN207" s="61"/>
      <c r="FO207" s="61"/>
      <c r="FP207" s="61"/>
      <c r="FQ207" s="61"/>
      <c r="FR207" s="61"/>
      <c r="FS207" s="61"/>
      <c r="FT207" s="61"/>
      <c r="FU207" s="61"/>
      <c r="FV207" s="61"/>
      <c r="FW207" s="61"/>
      <c r="FX207" s="61"/>
      <c r="FY207" s="61"/>
      <c r="FZ207" s="61"/>
      <c r="GA207" s="61"/>
      <c r="GB207" s="61"/>
      <c r="GC207" s="61"/>
      <c r="GD207" s="61"/>
      <c r="GE207" s="61"/>
      <c r="GF207" s="61"/>
      <c r="GG207" s="61"/>
      <c r="GH207" s="61"/>
      <c r="GI207" s="61"/>
      <c r="GJ207" s="61"/>
      <c r="GK207" s="61"/>
      <c r="GL207" s="61"/>
      <c r="GM207" s="61"/>
      <c r="GN207" s="61"/>
      <c r="GO207" s="61"/>
      <c r="GP207" s="61"/>
      <c r="GQ207" s="61"/>
      <c r="GR207" s="61"/>
      <c r="GS207" s="61"/>
      <c r="GT207" s="61"/>
      <c r="GU207" s="61"/>
      <c r="GV207" s="61"/>
      <c r="GW207" s="61"/>
      <c r="GX207" s="61"/>
      <c r="GY207" s="61"/>
      <c r="GZ207" s="61"/>
      <c r="HA207" s="61"/>
      <c r="HB207" s="61"/>
      <c r="HC207" s="61"/>
      <c r="HD207" s="61"/>
      <c r="HE207" s="61"/>
      <c r="HF207" s="61"/>
      <c r="HG207" s="61"/>
      <c r="HH207" s="61"/>
      <c r="HI207" s="61"/>
      <c r="HJ207" s="61"/>
      <c r="HK207" s="61"/>
      <c r="HL207" s="61"/>
      <c r="HM207" s="61"/>
      <c r="HN207" s="61"/>
      <c r="HO207" s="61"/>
      <c r="HP207" s="61"/>
      <c r="HQ207" s="61"/>
      <c r="HR207" s="61"/>
      <c r="HS207" s="61"/>
      <c r="HT207" s="61"/>
      <c r="HU207" s="61"/>
      <c r="HV207" s="61"/>
      <c r="HW207" s="61"/>
      <c r="HX207" s="61"/>
      <c r="HY207" s="61"/>
      <c r="HZ207" s="61"/>
      <c r="IA207" s="61"/>
      <c r="IB207" s="61"/>
      <c r="IC207" s="61"/>
      <c r="ID207" s="61"/>
      <c r="IE207" s="61"/>
      <c r="IF207" s="61"/>
      <c r="IG207" s="61"/>
      <c r="IH207" s="61"/>
      <c r="II207" s="61"/>
      <c r="IJ207" s="61"/>
      <c r="IK207" s="61"/>
      <c r="IL207" s="61"/>
      <c r="IM207" s="61"/>
      <c r="IN207" s="61"/>
      <c r="IO207" s="61"/>
      <c r="IP207" s="61"/>
      <c r="IQ207" s="61"/>
      <c r="IR207" s="61"/>
      <c r="IS207" s="61"/>
      <c r="IT207" s="61"/>
      <c r="IU207" s="61"/>
      <c r="IV207" s="61"/>
    </row>
    <row r="208" spans="1:256" s="100" customFormat="1" ht="15" thickBot="1" x14ac:dyDescent="0.4">
      <c r="A208" s="113">
        <v>11000152</v>
      </c>
      <c r="B208" s="114" t="s">
        <v>386</v>
      </c>
      <c r="C208" s="114" t="s">
        <v>387</v>
      </c>
      <c r="D208" s="115">
        <v>6068816</v>
      </c>
      <c r="E208" s="114">
        <v>0</v>
      </c>
      <c r="F208" s="114">
        <v>0</v>
      </c>
      <c r="G208" s="114">
        <v>0</v>
      </c>
      <c r="H208" s="115"/>
      <c r="I208" s="115">
        <v>-2806381</v>
      </c>
      <c r="J208" s="114">
        <v>0</v>
      </c>
      <c r="K208" s="115">
        <v>-163122</v>
      </c>
      <c r="L208" s="115"/>
      <c r="M208" s="115"/>
      <c r="N208" s="125">
        <v>3262435</v>
      </c>
      <c r="O208" s="204">
        <v>1500000</v>
      </c>
      <c r="P208" s="208">
        <f>O208*0.95*4/10</f>
        <v>570000</v>
      </c>
      <c r="Q208" s="199">
        <f>O208-P208</f>
        <v>930000</v>
      </c>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c r="AQ208" s="61"/>
      <c r="AR208" s="61"/>
      <c r="AS208" s="61"/>
      <c r="AT208" s="61"/>
      <c r="AU208" s="61"/>
      <c r="AV208" s="61"/>
      <c r="AW208" s="61"/>
      <c r="AX208" s="61"/>
      <c r="AY208" s="61"/>
      <c r="AZ208" s="61"/>
      <c r="BA208" s="61"/>
      <c r="BB208" s="61"/>
      <c r="BC208" s="61"/>
      <c r="BD208" s="61"/>
      <c r="BE208" s="61"/>
      <c r="BF208" s="61"/>
      <c r="BG208" s="61"/>
      <c r="BH208" s="61"/>
      <c r="BI208" s="61"/>
      <c r="BJ208" s="61"/>
      <c r="BK208" s="61"/>
      <c r="BL208" s="61"/>
      <c r="BM208" s="61"/>
      <c r="BN208" s="61"/>
      <c r="BO208" s="61"/>
      <c r="BP208" s="61"/>
      <c r="BQ208" s="61"/>
      <c r="BR208" s="61"/>
      <c r="BS208" s="61"/>
      <c r="BT208" s="61"/>
      <c r="BU208" s="61"/>
      <c r="BV208" s="61"/>
      <c r="BW208" s="61"/>
      <c r="BX208" s="61"/>
      <c r="BY208" s="61"/>
      <c r="BZ208" s="61"/>
      <c r="CA208" s="61"/>
      <c r="CB208" s="61"/>
      <c r="CC208" s="61"/>
      <c r="CD208" s="61"/>
      <c r="CE208" s="61"/>
      <c r="CF208" s="61"/>
      <c r="CG208" s="61"/>
      <c r="CH208" s="61"/>
      <c r="CI208" s="61"/>
      <c r="CJ208" s="61"/>
      <c r="CK208" s="61"/>
      <c r="CL208" s="61"/>
      <c r="CM208" s="61"/>
      <c r="CN208" s="61"/>
      <c r="CO208" s="61"/>
      <c r="CP208" s="61"/>
      <c r="CQ208" s="61"/>
      <c r="CR208" s="61"/>
      <c r="CS208" s="61"/>
      <c r="CT208" s="61"/>
      <c r="CU208" s="61"/>
      <c r="CV208" s="61"/>
      <c r="CW208" s="61"/>
      <c r="CX208" s="61"/>
      <c r="CY208" s="61"/>
      <c r="CZ208" s="61"/>
      <c r="DA208" s="61"/>
      <c r="DB208" s="61"/>
      <c r="DC208" s="61"/>
      <c r="DD208" s="61"/>
      <c r="DE208" s="61"/>
      <c r="DF208" s="61"/>
      <c r="DG208" s="61"/>
      <c r="DH208" s="61"/>
      <c r="DI208" s="61"/>
      <c r="DJ208" s="61"/>
      <c r="DK208" s="61"/>
      <c r="DL208" s="61"/>
      <c r="DM208" s="61"/>
      <c r="DN208" s="61"/>
      <c r="DO208" s="61"/>
      <c r="DP208" s="61"/>
      <c r="DQ208" s="61"/>
      <c r="DR208" s="61"/>
      <c r="DS208" s="61"/>
      <c r="DT208" s="61"/>
      <c r="DU208" s="61"/>
      <c r="DV208" s="61"/>
      <c r="DW208" s="61"/>
      <c r="DX208" s="61"/>
      <c r="DY208" s="61"/>
      <c r="DZ208" s="61"/>
      <c r="EA208" s="61"/>
      <c r="EB208" s="61"/>
      <c r="EC208" s="61"/>
      <c r="ED208" s="61"/>
      <c r="EE208" s="61"/>
      <c r="EF208" s="61"/>
      <c r="EG208" s="61"/>
      <c r="EH208" s="61"/>
      <c r="EI208" s="61"/>
      <c r="EJ208" s="61"/>
      <c r="EK208" s="61"/>
      <c r="EL208" s="61"/>
      <c r="EM208" s="61"/>
      <c r="EN208" s="61"/>
      <c r="EO208" s="61"/>
      <c r="EP208" s="61"/>
      <c r="EQ208" s="61"/>
      <c r="ER208" s="61"/>
      <c r="ES208" s="61"/>
      <c r="ET208" s="61"/>
      <c r="EU208" s="61"/>
      <c r="EV208" s="61"/>
      <c r="EW208" s="61"/>
      <c r="EX208" s="61"/>
      <c r="EY208" s="61"/>
      <c r="EZ208" s="61"/>
      <c r="FA208" s="61"/>
      <c r="FB208" s="61"/>
      <c r="FC208" s="61"/>
      <c r="FD208" s="61"/>
      <c r="FE208" s="61"/>
      <c r="FF208" s="61"/>
      <c r="FG208" s="61"/>
      <c r="FH208" s="61"/>
      <c r="FI208" s="61"/>
      <c r="FJ208" s="61"/>
      <c r="FK208" s="61"/>
      <c r="FL208" s="61"/>
      <c r="FM208" s="61"/>
      <c r="FN208" s="61"/>
      <c r="FO208" s="61"/>
      <c r="FP208" s="61"/>
      <c r="FQ208" s="61"/>
      <c r="FR208" s="61"/>
      <c r="FS208" s="61"/>
      <c r="FT208" s="61"/>
      <c r="FU208" s="61"/>
      <c r="FV208" s="61"/>
      <c r="FW208" s="61"/>
      <c r="FX208" s="61"/>
      <c r="FY208" s="61"/>
      <c r="FZ208" s="61"/>
      <c r="GA208" s="61"/>
      <c r="GB208" s="61"/>
      <c r="GC208" s="61"/>
      <c r="GD208" s="61"/>
      <c r="GE208" s="61"/>
      <c r="GF208" s="61"/>
      <c r="GG208" s="61"/>
      <c r="GH208" s="61"/>
      <c r="GI208" s="61"/>
      <c r="GJ208" s="61"/>
      <c r="GK208" s="61"/>
      <c r="GL208" s="61"/>
      <c r="GM208" s="61"/>
      <c r="GN208" s="61"/>
      <c r="GO208" s="61"/>
      <c r="GP208" s="61"/>
      <c r="GQ208" s="61"/>
      <c r="GR208" s="61"/>
      <c r="GS208" s="61"/>
      <c r="GT208" s="61"/>
      <c r="GU208" s="61"/>
      <c r="GV208" s="61"/>
      <c r="GW208" s="61"/>
      <c r="GX208" s="61"/>
      <c r="GY208" s="61"/>
      <c r="GZ208" s="61"/>
      <c r="HA208" s="61"/>
      <c r="HB208" s="61"/>
      <c r="HC208" s="61"/>
      <c r="HD208" s="61"/>
      <c r="HE208" s="61"/>
      <c r="HF208" s="61"/>
      <c r="HG208" s="61"/>
      <c r="HH208" s="61"/>
      <c r="HI208" s="61"/>
      <c r="HJ208" s="61"/>
      <c r="HK208" s="61"/>
      <c r="HL208" s="61"/>
      <c r="HM208" s="61"/>
      <c r="HN208" s="61"/>
      <c r="HO208" s="61"/>
      <c r="HP208" s="61"/>
      <c r="HQ208" s="61"/>
      <c r="HR208" s="61"/>
      <c r="HS208" s="61"/>
      <c r="HT208" s="61"/>
      <c r="HU208" s="61"/>
      <c r="HV208" s="61"/>
      <c r="HW208" s="61"/>
      <c r="HX208" s="61"/>
      <c r="HY208" s="61"/>
      <c r="HZ208" s="61"/>
      <c r="IA208" s="61"/>
      <c r="IB208" s="61"/>
      <c r="IC208" s="61"/>
      <c r="ID208" s="61"/>
      <c r="IE208" s="61"/>
      <c r="IF208" s="61"/>
      <c r="IG208" s="61"/>
      <c r="IH208" s="61"/>
      <c r="II208" s="61"/>
      <c r="IJ208" s="61"/>
      <c r="IK208" s="61"/>
      <c r="IL208" s="61"/>
      <c r="IM208" s="61"/>
      <c r="IN208" s="61"/>
      <c r="IO208" s="61"/>
      <c r="IP208" s="61"/>
      <c r="IQ208" s="61"/>
      <c r="IR208" s="61"/>
      <c r="IS208" s="61"/>
      <c r="IT208" s="61"/>
      <c r="IU208" s="61"/>
      <c r="IV208" s="61"/>
    </row>
    <row r="209" spans="1:17" s="99" customFormat="1" ht="15" thickBot="1" x14ac:dyDescent="0.4">
      <c r="O209" s="193"/>
      <c r="P209" s="193"/>
      <c r="Q209" s="193"/>
    </row>
    <row r="210" spans="1:17" s="100" customFormat="1" x14ac:dyDescent="0.35">
      <c r="A210" s="117">
        <v>15</v>
      </c>
      <c r="B210" s="160" t="s">
        <v>102</v>
      </c>
      <c r="C210" s="119"/>
      <c r="D210" s="119"/>
      <c r="E210" s="119"/>
      <c r="F210" s="119"/>
      <c r="G210" s="119"/>
      <c r="H210" s="119"/>
      <c r="I210" s="119"/>
      <c r="J210" s="119"/>
      <c r="K210" s="119"/>
      <c r="L210" s="119"/>
      <c r="M210" s="119"/>
      <c r="N210" s="120"/>
      <c r="O210" s="206"/>
      <c r="P210" s="206"/>
      <c r="Q210" s="207"/>
    </row>
    <row r="211" spans="1:17" s="99" customFormat="1" x14ac:dyDescent="0.35">
      <c r="A211" s="107">
        <v>10900078</v>
      </c>
      <c r="B211" s="99" t="s">
        <v>244</v>
      </c>
      <c r="C211" s="99" t="s">
        <v>245</v>
      </c>
      <c r="D211" s="101">
        <v>46480928.75</v>
      </c>
      <c r="E211" s="99">
        <v>0</v>
      </c>
      <c r="F211" s="99">
        <v>0</v>
      </c>
      <c r="G211" s="99">
        <v>0</v>
      </c>
      <c r="H211" s="101">
        <f>SUM(D211:G211)</f>
        <v>46480928.75</v>
      </c>
      <c r="I211" s="101">
        <v>-9945644</v>
      </c>
      <c r="J211" s="99">
        <v>0</v>
      </c>
      <c r="K211" s="101">
        <v>-2324047</v>
      </c>
      <c r="L211" s="101">
        <f>SUM(I211:K211)</f>
        <v>-12269691</v>
      </c>
      <c r="M211" s="101">
        <v>34211237.75</v>
      </c>
      <c r="N211" s="109">
        <v>36535284.75</v>
      </c>
      <c r="O211" s="193">
        <v>60000000</v>
      </c>
      <c r="P211" s="193">
        <f>O211*0.95*6/20</f>
        <v>17100000</v>
      </c>
      <c r="Q211" s="209">
        <v>39325000</v>
      </c>
    </row>
    <row r="212" spans="1:17" s="99" customFormat="1" x14ac:dyDescent="0.35">
      <c r="A212" s="107">
        <v>10900079</v>
      </c>
      <c r="B212" s="99" t="s">
        <v>246</v>
      </c>
      <c r="C212" s="99" t="s">
        <v>245</v>
      </c>
      <c r="D212" s="101">
        <v>46480928.75</v>
      </c>
      <c r="E212" s="99">
        <v>0</v>
      </c>
      <c r="F212" s="99">
        <v>0</v>
      </c>
      <c r="G212" s="99">
        <v>0</v>
      </c>
      <c r="H212" s="101">
        <f>SUM(D212:G212)</f>
        <v>46480928.75</v>
      </c>
      <c r="I212" s="101">
        <v>-9945644</v>
      </c>
      <c r="J212" s="99">
        <v>0</v>
      </c>
      <c r="K212" s="101">
        <v>-2324047</v>
      </c>
      <c r="L212" s="101">
        <f>SUM(I212:K212)</f>
        <v>-12269691</v>
      </c>
      <c r="M212" s="101">
        <v>34211237.75</v>
      </c>
      <c r="N212" s="109">
        <v>36535284.75</v>
      </c>
      <c r="O212" s="193">
        <v>60000000</v>
      </c>
      <c r="P212" s="193">
        <f>O212*0.95*6/20</f>
        <v>17100000</v>
      </c>
      <c r="Q212" s="209">
        <v>39325000</v>
      </c>
    </row>
    <row r="213" spans="1:17" s="99" customFormat="1" x14ac:dyDescent="0.35">
      <c r="A213" s="107">
        <v>10900080</v>
      </c>
      <c r="B213" s="99" t="s">
        <v>247</v>
      </c>
      <c r="C213" s="99" t="s">
        <v>245</v>
      </c>
      <c r="D213" s="101">
        <v>46494874.43</v>
      </c>
      <c r="E213" s="99">
        <v>0</v>
      </c>
      <c r="F213" s="99">
        <v>0</v>
      </c>
      <c r="G213" s="99">
        <v>0</v>
      </c>
      <c r="H213" s="101">
        <f>SUM(D213:G213)</f>
        <v>46494874.43</v>
      </c>
      <c r="I213" s="101">
        <v>-9948630</v>
      </c>
      <c r="J213" s="99">
        <v>0</v>
      </c>
      <c r="K213" s="101">
        <v>-2324744</v>
      </c>
      <c r="L213" s="101">
        <f>SUM(I213:K213)</f>
        <v>-12273374</v>
      </c>
      <c r="M213" s="101">
        <v>34221500.43</v>
      </c>
      <c r="N213" s="109">
        <v>36546244.43</v>
      </c>
      <c r="O213" s="193">
        <v>60000000</v>
      </c>
      <c r="P213" s="193">
        <f>O213*0.95*6/20</f>
        <v>17100000</v>
      </c>
      <c r="Q213" s="209">
        <v>39325000</v>
      </c>
    </row>
    <row r="214" spans="1:17" s="99" customFormat="1" ht="15" thickBot="1" x14ac:dyDescent="0.4">
      <c r="A214" s="113"/>
      <c r="B214" s="114"/>
      <c r="C214" s="114"/>
      <c r="D214" s="121">
        <f>SUM(D211:D213)</f>
        <v>139456731.93000001</v>
      </c>
      <c r="E214" s="121">
        <f t="shared" ref="E214:Q214" si="23">SUM(E211:E213)</f>
        <v>0</v>
      </c>
      <c r="F214" s="121">
        <f t="shared" si="23"/>
        <v>0</v>
      </c>
      <c r="G214" s="121">
        <f t="shared" si="23"/>
        <v>0</v>
      </c>
      <c r="H214" s="121">
        <f t="shared" si="23"/>
        <v>139456731.93000001</v>
      </c>
      <c r="I214" s="121">
        <f t="shared" si="23"/>
        <v>-29839918</v>
      </c>
      <c r="J214" s="121">
        <f t="shared" si="23"/>
        <v>0</v>
      </c>
      <c r="K214" s="121">
        <f t="shared" si="23"/>
        <v>-6972838</v>
      </c>
      <c r="L214" s="121">
        <f t="shared" si="23"/>
        <v>-36812756</v>
      </c>
      <c r="M214" s="121">
        <f t="shared" si="23"/>
        <v>102643975.93000001</v>
      </c>
      <c r="N214" s="122">
        <f t="shared" si="23"/>
        <v>109616813.93000001</v>
      </c>
      <c r="O214" s="121">
        <f t="shared" si="23"/>
        <v>180000000</v>
      </c>
      <c r="P214" s="121">
        <f t="shared" si="23"/>
        <v>51300000</v>
      </c>
      <c r="Q214" s="122">
        <f t="shared" si="23"/>
        <v>117975000</v>
      </c>
    </row>
    <row r="215" spans="1:17" s="99" customFormat="1" ht="15" thickBot="1" x14ac:dyDescent="0.4">
      <c r="D215" s="102"/>
      <c r="E215" s="102"/>
      <c r="F215" s="102"/>
      <c r="G215" s="102"/>
      <c r="H215" s="102"/>
      <c r="I215" s="102"/>
      <c r="J215" s="102"/>
      <c r="K215" s="102"/>
      <c r="L215" s="102"/>
      <c r="M215" s="102"/>
      <c r="N215" s="102"/>
      <c r="O215" s="102"/>
      <c r="P215" s="102"/>
      <c r="Q215" s="102"/>
    </row>
    <row r="216" spans="1:17" s="99" customFormat="1" x14ac:dyDescent="0.35">
      <c r="A216" s="117">
        <v>16</v>
      </c>
      <c r="B216" s="151" t="s">
        <v>388</v>
      </c>
      <c r="C216" s="119"/>
      <c r="D216" s="119"/>
      <c r="E216" s="119"/>
      <c r="F216" s="119"/>
      <c r="G216" s="119"/>
      <c r="H216" s="119"/>
      <c r="I216" s="119"/>
      <c r="J216" s="119"/>
      <c r="K216" s="119"/>
      <c r="L216" s="119"/>
      <c r="M216" s="119"/>
      <c r="N216" s="120"/>
      <c r="O216" s="206"/>
      <c r="P216" s="206"/>
      <c r="Q216" s="207"/>
    </row>
    <row r="217" spans="1:17" s="99" customFormat="1" ht="15" thickBot="1" x14ac:dyDescent="0.4">
      <c r="A217" s="113">
        <v>10800061</v>
      </c>
      <c r="B217" s="114" t="s">
        <v>389</v>
      </c>
      <c r="C217" s="114" t="s">
        <v>390</v>
      </c>
      <c r="D217" s="115">
        <v>6068816</v>
      </c>
      <c r="E217" s="114">
        <v>0</v>
      </c>
      <c r="F217" s="114">
        <v>0</v>
      </c>
      <c r="G217" s="114">
        <v>0</v>
      </c>
      <c r="H217" s="115">
        <v>2951792</v>
      </c>
      <c r="I217" s="115">
        <v>-2806381</v>
      </c>
      <c r="J217" s="114">
        <v>0</v>
      </c>
      <c r="K217" s="115">
        <v>-163122</v>
      </c>
      <c r="L217" s="115">
        <f>M217-H217</f>
        <v>-280016</v>
      </c>
      <c r="M217" s="115">
        <v>2671776</v>
      </c>
      <c r="N217" s="125">
        <v>3262435</v>
      </c>
      <c r="O217" s="204">
        <v>2800000</v>
      </c>
      <c r="P217" s="208">
        <f>O217*0.95*1/15</f>
        <v>177333.33333333334</v>
      </c>
      <c r="Q217" s="199">
        <f>O217-P217</f>
        <v>2622666.6666666665</v>
      </c>
    </row>
    <row r="218" spans="1:17" s="99" customFormat="1" ht="15" thickBot="1" x14ac:dyDescent="0.4">
      <c r="D218" s="101"/>
      <c r="H218" s="101"/>
      <c r="I218" s="101"/>
      <c r="K218" s="101"/>
      <c r="L218" s="101"/>
      <c r="M218" s="101"/>
      <c r="N218" s="101"/>
      <c r="O218" s="194"/>
      <c r="P218" s="193"/>
      <c r="Q218" s="193"/>
    </row>
    <row r="219" spans="1:17" s="99" customFormat="1" x14ac:dyDescent="0.35">
      <c r="A219" s="152">
        <v>17</v>
      </c>
      <c r="B219" s="153" t="s">
        <v>391</v>
      </c>
      <c r="C219" s="103"/>
      <c r="D219" s="103"/>
      <c r="E219" s="103"/>
      <c r="F219" s="103"/>
      <c r="G219" s="103"/>
      <c r="H219" s="103"/>
      <c r="I219" s="103"/>
      <c r="J219" s="103"/>
      <c r="K219" s="103"/>
      <c r="L219" s="103"/>
      <c r="M219" s="103"/>
      <c r="N219" s="104"/>
      <c r="O219" s="202"/>
      <c r="P219" s="202"/>
      <c r="Q219" s="195"/>
    </row>
    <row r="220" spans="1:17" s="99" customFormat="1" x14ac:dyDescent="0.35">
      <c r="A220" s="154"/>
      <c r="B220" s="90" t="s">
        <v>393</v>
      </c>
      <c r="C220" s="90" t="s">
        <v>392</v>
      </c>
      <c r="D220" s="91">
        <v>10303268.039999999</v>
      </c>
      <c r="E220" s="90">
        <v>0</v>
      </c>
      <c r="F220" s="90">
        <v>0</v>
      </c>
      <c r="G220" s="90">
        <v>0</v>
      </c>
      <c r="H220" s="91"/>
      <c r="I220" s="91">
        <v>-3288177</v>
      </c>
      <c r="J220" s="90">
        <v>0</v>
      </c>
      <c r="K220" s="91">
        <v>-1029557</v>
      </c>
      <c r="L220" s="91"/>
      <c r="M220" s="91"/>
      <c r="N220" s="155">
        <v>7015091.04</v>
      </c>
      <c r="O220" s="72">
        <v>9800000</v>
      </c>
      <c r="P220" s="193">
        <f>O220*0.95*1/30</f>
        <v>310333.33333333331</v>
      </c>
      <c r="Q220" s="209">
        <f>O220-P220</f>
        <v>9489666.666666666</v>
      </c>
    </row>
    <row r="221" spans="1:17" s="99" customFormat="1" x14ac:dyDescent="0.35">
      <c r="A221" s="154"/>
      <c r="B221" s="90" t="s">
        <v>394</v>
      </c>
      <c r="C221" s="90" t="s">
        <v>392</v>
      </c>
      <c r="D221" s="91">
        <v>10303268.039999999</v>
      </c>
      <c r="E221" s="90">
        <v>0</v>
      </c>
      <c r="F221" s="90">
        <v>0</v>
      </c>
      <c r="G221" s="90">
        <v>0</v>
      </c>
      <c r="H221" s="91"/>
      <c r="I221" s="91"/>
      <c r="J221" s="90"/>
      <c r="K221" s="91"/>
      <c r="L221" s="91"/>
      <c r="M221" s="91"/>
      <c r="N221" s="155">
        <v>7015091.04</v>
      </c>
      <c r="O221" s="72">
        <v>7500000</v>
      </c>
      <c r="P221" s="193">
        <f>O221*0.95*1/30</f>
        <v>237500</v>
      </c>
      <c r="Q221" s="209">
        <f>O221-P221</f>
        <v>7262500</v>
      </c>
    </row>
    <row r="222" spans="1:17" s="99" customFormat="1" ht="15" thickBot="1" x14ac:dyDescent="0.4">
      <c r="A222" s="156"/>
      <c r="B222" s="157"/>
      <c r="C222" s="157"/>
      <c r="D222" s="158">
        <f>SUM(D220:D221)</f>
        <v>20606536.079999998</v>
      </c>
      <c r="E222" s="158">
        <f t="shared" ref="E222:Q222" si="24">SUM(E220:E221)</f>
        <v>0</v>
      </c>
      <c r="F222" s="158">
        <f t="shared" si="24"/>
        <v>0</v>
      </c>
      <c r="G222" s="158">
        <f t="shared" si="24"/>
        <v>0</v>
      </c>
      <c r="H222" s="158">
        <f t="shared" si="24"/>
        <v>0</v>
      </c>
      <c r="I222" s="158">
        <f t="shared" si="24"/>
        <v>-3288177</v>
      </c>
      <c r="J222" s="158">
        <f t="shared" si="24"/>
        <v>0</v>
      </c>
      <c r="K222" s="158">
        <f t="shared" si="24"/>
        <v>-1029557</v>
      </c>
      <c r="L222" s="158">
        <f t="shared" si="24"/>
        <v>0</v>
      </c>
      <c r="M222" s="158">
        <f t="shared" si="24"/>
        <v>0</v>
      </c>
      <c r="N222" s="159">
        <f t="shared" si="24"/>
        <v>14030182.08</v>
      </c>
      <c r="O222" s="158">
        <f t="shared" si="24"/>
        <v>17300000</v>
      </c>
      <c r="P222" s="158">
        <f t="shared" si="24"/>
        <v>547833.33333333326</v>
      </c>
      <c r="Q222" s="159">
        <f t="shared" si="24"/>
        <v>16752166.666666666</v>
      </c>
    </row>
    <row r="223" spans="1:17" s="99" customFormat="1" ht="15" thickBot="1" x14ac:dyDescent="0.4">
      <c r="A223" s="237"/>
      <c r="B223" s="237"/>
      <c r="C223" s="237"/>
      <c r="D223" s="238"/>
      <c r="E223" s="238"/>
      <c r="F223" s="238"/>
      <c r="G223" s="238"/>
      <c r="H223" s="238"/>
      <c r="I223" s="238"/>
      <c r="J223" s="238"/>
      <c r="K223" s="238"/>
      <c r="L223" s="238"/>
      <c r="M223" s="238"/>
      <c r="N223" s="238"/>
      <c r="O223" s="238"/>
      <c r="P223" s="238"/>
      <c r="Q223" s="238"/>
    </row>
    <row r="224" spans="1:17" s="99" customFormat="1" x14ac:dyDescent="0.35">
      <c r="A224" s="117">
        <v>18</v>
      </c>
      <c r="B224" s="151" t="s">
        <v>396</v>
      </c>
      <c r="C224" s="119"/>
      <c r="D224" s="119"/>
      <c r="E224" s="119"/>
      <c r="F224" s="119"/>
      <c r="G224" s="119"/>
      <c r="H224" s="119"/>
      <c r="I224" s="119"/>
      <c r="J224" s="119"/>
      <c r="K224" s="119"/>
      <c r="L224" s="119"/>
      <c r="M224" s="119"/>
      <c r="N224" s="120"/>
      <c r="O224" s="206"/>
      <c r="P224" s="206"/>
      <c r="Q224" s="207"/>
    </row>
    <row r="225" spans="1:17" s="99" customFormat="1" ht="15" thickBot="1" x14ac:dyDescent="0.4">
      <c r="A225" s="113"/>
      <c r="B225" s="114" t="s">
        <v>395</v>
      </c>
      <c r="C225" s="147" t="s">
        <v>392</v>
      </c>
      <c r="D225" s="115">
        <v>6068816</v>
      </c>
      <c r="E225" s="114">
        <v>0</v>
      </c>
      <c r="F225" s="114">
        <v>0</v>
      </c>
      <c r="G225" s="114">
        <v>0</v>
      </c>
      <c r="H225" s="115"/>
      <c r="I225" s="115">
        <v>-2806381</v>
      </c>
      <c r="J225" s="114">
        <v>0</v>
      </c>
      <c r="K225" s="115">
        <v>-163122</v>
      </c>
      <c r="L225" s="115"/>
      <c r="M225" s="115"/>
      <c r="N225" s="125">
        <v>3262435</v>
      </c>
      <c r="O225" s="204">
        <v>24600000</v>
      </c>
      <c r="P225" s="208">
        <f>O225*0.95*1/30</f>
        <v>779000</v>
      </c>
      <c r="Q225" s="199">
        <f>O225-P225</f>
        <v>23821000</v>
      </c>
    </row>
    <row r="226" spans="1:17" s="99" customFormat="1" x14ac:dyDescent="0.35">
      <c r="O226" s="193"/>
      <c r="P226" s="193"/>
      <c r="Q226" s="193"/>
    </row>
    <row r="227" spans="1:17" s="99" customFormat="1" ht="20" thickBot="1" x14ac:dyDescent="0.4">
      <c r="A227" s="671" t="s">
        <v>104</v>
      </c>
      <c r="B227" s="671"/>
      <c r="O227" s="193"/>
      <c r="P227" s="193"/>
      <c r="Q227" s="193"/>
    </row>
    <row r="228" spans="1:17" s="99" customFormat="1" ht="15.5" x14ac:dyDescent="0.35">
      <c r="A228" s="161" t="s">
        <v>129</v>
      </c>
      <c r="B228" s="162"/>
      <c r="C228" s="103"/>
      <c r="D228" s="103"/>
      <c r="E228" s="103"/>
      <c r="F228" s="103"/>
      <c r="G228" s="103"/>
      <c r="H228" s="103"/>
      <c r="I228" s="103"/>
      <c r="J228" s="103"/>
      <c r="K228" s="103"/>
      <c r="L228" s="103"/>
      <c r="M228" s="103"/>
      <c r="N228" s="104"/>
      <c r="O228" s="202"/>
      <c r="P228" s="202"/>
      <c r="Q228" s="195"/>
    </row>
    <row r="229" spans="1:17" s="100" customFormat="1" x14ac:dyDescent="0.35">
      <c r="A229" s="105">
        <v>22</v>
      </c>
      <c r="B229" s="95" t="s">
        <v>130</v>
      </c>
      <c r="N229" s="106"/>
      <c r="O229" s="194"/>
      <c r="P229" s="194"/>
      <c r="Q229" s="211"/>
    </row>
    <row r="230" spans="1:17" s="100" customFormat="1" ht="29" x14ac:dyDescent="0.35">
      <c r="A230" s="105">
        <v>23</v>
      </c>
      <c r="B230" s="95" t="s">
        <v>131</v>
      </c>
      <c r="N230" s="106"/>
      <c r="O230" s="194"/>
      <c r="P230" s="194"/>
      <c r="Q230" s="211"/>
    </row>
    <row r="231" spans="1:17" s="100" customFormat="1" ht="29" x14ac:dyDescent="0.35">
      <c r="A231" s="105">
        <v>24</v>
      </c>
      <c r="B231" s="93" t="s">
        <v>132</v>
      </c>
      <c r="N231" s="106"/>
      <c r="O231" s="194"/>
      <c r="P231" s="194"/>
      <c r="Q231" s="211"/>
    </row>
    <row r="232" spans="1:17" customFormat="1" ht="15" thickBot="1" x14ac:dyDescent="0.4">
      <c r="A232" s="146">
        <v>10900091</v>
      </c>
      <c r="B232" s="147" t="s">
        <v>248</v>
      </c>
      <c r="C232" s="147" t="s">
        <v>249</v>
      </c>
      <c r="D232" s="148">
        <v>7803281.54</v>
      </c>
      <c r="E232" s="147">
        <v>0</v>
      </c>
      <c r="F232" s="147">
        <v>0</v>
      </c>
      <c r="G232" s="147">
        <v>0</v>
      </c>
      <c r="H232" s="148">
        <f>SUM(D232:G232)</f>
        <v>7803281.54</v>
      </c>
      <c r="I232" s="148">
        <v>-1812049</v>
      </c>
      <c r="J232" s="147">
        <v>0</v>
      </c>
      <c r="K232" s="148">
        <v>-777667</v>
      </c>
      <c r="L232" s="148">
        <f>SUM(I232:K232)</f>
        <v>-2589716</v>
      </c>
      <c r="M232" s="148">
        <v>5213565.1900000004</v>
      </c>
      <c r="N232" s="149">
        <v>5991232.1900000004</v>
      </c>
      <c r="O232" s="210">
        <v>8000000</v>
      </c>
      <c r="P232" s="210">
        <v>0</v>
      </c>
      <c r="Q232" s="201">
        <v>400000</v>
      </c>
    </row>
    <row r="233" spans="1:17" s="99" customFormat="1" x14ac:dyDescent="0.35">
      <c r="O233" s="193"/>
      <c r="P233" s="193"/>
      <c r="Q233" s="193"/>
    </row>
  </sheetData>
  <autoFilter ref="A2:A232"/>
  <mergeCells count="6">
    <mergeCell ref="A227:B227"/>
    <mergeCell ref="A3:B3"/>
    <mergeCell ref="A115:B115"/>
    <mergeCell ref="A56:B56"/>
    <mergeCell ref="A66:B66"/>
    <mergeCell ref="A160:B160"/>
  </mergeCells>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8"/>
  <sheetViews>
    <sheetView topLeftCell="A23" workbookViewId="0">
      <selection activeCell="A30" sqref="A30:N31"/>
    </sheetView>
  </sheetViews>
  <sheetFormatPr defaultColWidth="9.26953125" defaultRowHeight="14.5" x14ac:dyDescent="0.35"/>
  <cols>
    <col min="1" max="1" width="17.54296875" customWidth="1"/>
    <col min="2" max="2" width="25.453125" customWidth="1"/>
    <col min="3" max="3" width="11.1796875" bestFit="1" customWidth="1"/>
    <col min="4" max="4" width="10.81640625" bestFit="1" customWidth="1"/>
    <col min="5" max="5" width="10.1796875" bestFit="1" customWidth="1"/>
    <col min="6" max="6" width="14.453125" bestFit="1" customWidth="1"/>
    <col min="7" max="7" width="15.1796875" bestFit="1" customWidth="1"/>
    <col min="8" max="8" width="14.453125" bestFit="1" customWidth="1"/>
    <col min="9" max="9" width="6.81640625" customWidth="1"/>
    <col min="10" max="10" width="8.54296875" customWidth="1"/>
    <col min="11" max="11" width="6.54296875" customWidth="1"/>
    <col min="12" max="12" width="16" bestFit="1" customWidth="1"/>
    <col min="13" max="14" width="15.81640625" bestFit="1" customWidth="1"/>
  </cols>
  <sheetData>
    <row r="2" spans="1:14" ht="43.5" x14ac:dyDescent="0.35">
      <c r="A2" s="51" t="s">
        <v>0</v>
      </c>
      <c r="B2" s="6" t="s">
        <v>1</v>
      </c>
      <c r="C2" s="6" t="s">
        <v>2</v>
      </c>
      <c r="D2" s="51" t="s">
        <v>367</v>
      </c>
      <c r="E2" s="51" t="s">
        <v>251</v>
      </c>
      <c r="F2" s="51" t="s">
        <v>256</v>
      </c>
      <c r="G2" s="51" t="s">
        <v>260</v>
      </c>
      <c r="H2" s="51" t="s">
        <v>261</v>
      </c>
      <c r="I2" s="51" t="s">
        <v>368</v>
      </c>
      <c r="J2" s="51" t="s">
        <v>369</v>
      </c>
      <c r="K2" s="51" t="s">
        <v>370</v>
      </c>
      <c r="L2" s="51" t="s">
        <v>371</v>
      </c>
      <c r="M2" s="51" t="s">
        <v>372</v>
      </c>
      <c r="N2" s="51" t="s">
        <v>373</v>
      </c>
    </row>
    <row r="3" spans="1:14" ht="19.5" x14ac:dyDescent="0.35">
      <c r="A3" s="678" t="s">
        <v>34</v>
      </c>
      <c r="B3" s="678"/>
      <c r="C3" s="678"/>
      <c r="D3" s="678"/>
      <c r="E3" s="678"/>
      <c r="F3" s="678"/>
      <c r="G3" s="678"/>
      <c r="H3" s="678"/>
      <c r="I3" s="678"/>
      <c r="J3" s="678"/>
      <c r="K3" s="678"/>
      <c r="L3" s="678"/>
      <c r="M3" s="678"/>
      <c r="N3" s="678"/>
    </row>
    <row r="4" spans="1:14" ht="15.5" x14ac:dyDescent="0.35">
      <c r="A4" s="677" t="s">
        <v>35</v>
      </c>
      <c r="B4" s="677"/>
      <c r="C4" s="677"/>
      <c r="D4" s="677"/>
      <c r="E4" s="677"/>
      <c r="F4" s="677"/>
      <c r="G4" s="677"/>
      <c r="H4" s="677"/>
      <c r="I4" s="677"/>
      <c r="J4" s="677"/>
      <c r="K4" s="677"/>
      <c r="L4" s="677"/>
      <c r="M4" s="677"/>
      <c r="N4" s="677"/>
    </row>
    <row r="5" spans="1:14" ht="15.5" x14ac:dyDescent="0.35">
      <c r="A5" s="10">
        <v>1</v>
      </c>
      <c r="B5" s="11" t="s">
        <v>36</v>
      </c>
      <c r="C5" s="13"/>
      <c r="D5" s="55"/>
      <c r="E5" s="55"/>
      <c r="F5" s="55"/>
      <c r="G5" s="55"/>
      <c r="H5" s="55"/>
      <c r="I5" s="55"/>
      <c r="J5" s="55"/>
      <c r="K5" s="55"/>
      <c r="L5" s="55"/>
      <c r="M5" s="55"/>
      <c r="N5" s="55"/>
    </row>
    <row r="6" spans="1:14" ht="15.5" x14ac:dyDescent="0.35">
      <c r="A6" s="677" t="s">
        <v>38</v>
      </c>
      <c r="B6" s="677"/>
      <c r="C6" s="677"/>
      <c r="D6" s="677"/>
      <c r="E6" s="677"/>
      <c r="F6" s="677"/>
      <c r="G6" s="677"/>
      <c r="H6" s="677"/>
      <c r="I6" s="677"/>
      <c r="J6" s="677"/>
      <c r="K6" s="677"/>
      <c r="L6" s="677"/>
      <c r="M6" s="677"/>
      <c r="N6" s="677"/>
    </row>
    <row r="7" spans="1:14" ht="15.5" x14ac:dyDescent="0.35">
      <c r="A7" s="677" t="s">
        <v>39</v>
      </c>
      <c r="B7" s="677"/>
      <c r="C7" s="677"/>
      <c r="D7" s="677"/>
      <c r="E7" s="677"/>
      <c r="F7" s="677"/>
      <c r="G7" s="677"/>
      <c r="H7" s="677"/>
      <c r="I7" s="677"/>
      <c r="J7" s="677"/>
      <c r="K7" s="677"/>
      <c r="L7" s="677"/>
      <c r="M7" s="677"/>
      <c r="N7" s="677"/>
    </row>
    <row r="8" spans="1:14" ht="15.5" x14ac:dyDescent="0.35">
      <c r="A8" s="677" t="s">
        <v>40</v>
      </c>
      <c r="B8" s="677"/>
      <c r="C8" s="677"/>
      <c r="D8" s="677"/>
      <c r="E8" s="677"/>
      <c r="F8" s="677"/>
      <c r="G8" s="677"/>
      <c r="H8" s="677"/>
      <c r="I8" s="677"/>
      <c r="J8" s="677"/>
      <c r="K8" s="677"/>
      <c r="L8" s="677"/>
      <c r="M8" s="677"/>
      <c r="N8" s="677"/>
    </row>
    <row r="9" spans="1:14" ht="31" x14ac:dyDescent="0.35">
      <c r="A9" s="219">
        <v>1</v>
      </c>
      <c r="B9" s="220" t="s">
        <v>41</v>
      </c>
      <c r="C9" s="221" t="s">
        <v>43</v>
      </c>
      <c r="D9" s="222"/>
      <c r="E9" s="222" t="s">
        <v>279</v>
      </c>
      <c r="F9" s="223">
        <v>738266</v>
      </c>
      <c r="G9" s="223">
        <v>-738265</v>
      </c>
      <c r="H9" s="222">
        <v>1</v>
      </c>
      <c r="I9" s="224">
        <v>50</v>
      </c>
      <c r="J9" s="224">
        <v>10</v>
      </c>
      <c r="K9" s="224">
        <f>+I9-J9</f>
        <v>40</v>
      </c>
      <c r="L9" s="225">
        <f>37700*700</f>
        <v>26390000</v>
      </c>
      <c r="M9" s="225">
        <f>+(L9*95/100)*K9/I9</f>
        <v>20056400</v>
      </c>
      <c r="N9" s="225">
        <f>+L9-M9</f>
        <v>6333600</v>
      </c>
    </row>
    <row r="10" spans="1:14" ht="31" x14ac:dyDescent="0.35">
      <c r="A10" s="219">
        <v>2</v>
      </c>
      <c r="B10" s="220" t="s">
        <v>45</v>
      </c>
      <c r="C10" s="221" t="s">
        <v>46</v>
      </c>
      <c r="D10" s="226"/>
      <c r="E10" s="226"/>
      <c r="F10" s="223">
        <v>2423675</v>
      </c>
      <c r="G10" s="223">
        <v>-1599628</v>
      </c>
      <c r="H10" s="223">
        <v>824047</v>
      </c>
      <c r="I10" s="224">
        <v>50</v>
      </c>
      <c r="J10" s="224">
        <v>10</v>
      </c>
      <c r="K10" s="224">
        <f>+I10-J10</f>
        <v>40</v>
      </c>
      <c r="L10" s="225">
        <f>17000*700</f>
        <v>11900000</v>
      </c>
      <c r="M10" s="225">
        <f>+(L10*95/100)*K10/I10</f>
        <v>9044000</v>
      </c>
      <c r="N10" s="225">
        <f>+L10-M10</f>
        <v>2856000</v>
      </c>
    </row>
    <row r="11" spans="1:14" x14ac:dyDescent="0.35">
      <c r="A11" s="10">
        <v>3</v>
      </c>
      <c r="B11" s="16" t="s">
        <v>47</v>
      </c>
      <c r="C11" s="10" t="s">
        <v>48</v>
      </c>
      <c r="D11" s="55"/>
      <c r="E11" s="55"/>
      <c r="F11" s="225">
        <v>3090011</v>
      </c>
      <c r="G11" s="225">
        <v>-1604195</v>
      </c>
      <c r="H11" s="225">
        <v>1485816</v>
      </c>
      <c r="I11" s="224">
        <v>50</v>
      </c>
      <c r="J11" s="224">
        <v>43</v>
      </c>
      <c r="K11" s="224">
        <f>+I11-J11</f>
        <v>7</v>
      </c>
      <c r="L11" s="225">
        <f>20300*1200</f>
        <v>24360000</v>
      </c>
      <c r="M11" s="225">
        <f>+(L11*95/100)*K11/I11</f>
        <v>3239880</v>
      </c>
      <c r="N11" s="225">
        <f>+L11-M11</f>
        <v>21120120</v>
      </c>
    </row>
    <row r="12" spans="1:14" ht="15.5" x14ac:dyDescent="0.35">
      <c r="A12" s="677" t="s">
        <v>49</v>
      </c>
      <c r="B12" s="677"/>
      <c r="C12" s="677"/>
      <c r="D12" s="677"/>
      <c r="E12" s="677"/>
      <c r="F12" s="677"/>
      <c r="G12" s="677"/>
      <c r="H12" s="677"/>
      <c r="I12" s="677"/>
      <c r="J12" s="677"/>
      <c r="K12" s="677"/>
      <c r="L12" s="677"/>
      <c r="M12" s="677"/>
      <c r="N12" s="677"/>
    </row>
    <row r="13" spans="1:14" ht="31" x14ac:dyDescent="0.35">
      <c r="A13" s="253">
        <v>4</v>
      </c>
      <c r="B13" s="220" t="s">
        <v>50</v>
      </c>
      <c r="C13" s="221" t="s">
        <v>399</v>
      </c>
      <c r="D13" s="226"/>
      <c r="E13" s="226"/>
      <c r="F13" s="223">
        <v>460340</v>
      </c>
      <c r="G13" s="223">
        <v>-460338</v>
      </c>
      <c r="H13" s="222">
        <v>2</v>
      </c>
      <c r="I13" s="55">
        <v>50</v>
      </c>
      <c r="J13" s="55">
        <v>10</v>
      </c>
      <c r="K13" s="55">
        <f t="shared" ref="K13:K18" si="0">+I13-J13</f>
        <v>40</v>
      </c>
      <c r="L13" s="55">
        <f>141000*700</f>
        <v>98700000</v>
      </c>
      <c r="M13" s="55">
        <f t="shared" ref="M13:M18" si="1">+(L13*95/100)*K13/I13</f>
        <v>75012000</v>
      </c>
      <c r="N13" s="55">
        <f t="shared" ref="N13:N18" si="2">+L13-M13</f>
        <v>23688000</v>
      </c>
    </row>
    <row r="14" spans="1:14" ht="31" x14ac:dyDescent="0.35">
      <c r="A14" s="10">
        <v>5</v>
      </c>
      <c r="B14" s="11" t="s">
        <v>397</v>
      </c>
      <c r="C14" s="13" t="s">
        <v>398</v>
      </c>
      <c r="D14" s="55"/>
      <c r="E14" s="55"/>
      <c r="F14" s="227">
        <v>6551510.1099999994</v>
      </c>
      <c r="G14" s="227">
        <v>-5384801</v>
      </c>
      <c r="H14" s="227">
        <v>1166709.1099999999</v>
      </c>
      <c r="I14" s="55">
        <v>50</v>
      </c>
      <c r="J14" s="55">
        <v>10</v>
      </c>
      <c r="K14" s="55">
        <f t="shared" si="0"/>
        <v>40</v>
      </c>
      <c r="L14" s="55">
        <f>43000*700</f>
        <v>30100000</v>
      </c>
      <c r="M14" s="55">
        <f t="shared" si="1"/>
        <v>22876000</v>
      </c>
      <c r="N14" s="55">
        <f t="shared" si="2"/>
        <v>7224000</v>
      </c>
    </row>
    <row r="15" spans="1:14" ht="31" x14ac:dyDescent="0.35">
      <c r="A15" s="10">
        <v>6</v>
      </c>
      <c r="B15" s="11" t="s">
        <v>54</v>
      </c>
      <c r="C15" s="13" t="s">
        <v>55</v>
      </c>
      <c r="D15" s="55"/>
      <c r="E15" s="55"/>
      <c r="F15" s="228">
        <v>175752</v>
      </c>
      <c r="G15" s="228">
        <v>-175751</v>
      </c>
      <c r="H15" s="229">
        <v>1</v>
      </c>
      <c r="I15" s="55">
        <v>50</v>
      </c>
      <c r="J15" s="55">
        <v>10</v>
      </c>
      <c r="K15" s="55">
        <f t="shared" si="0"/>
        <v>40</v>
      </c>
      <c r="L15" s="55">
        <f>30800*1200</f>
        <v>36960000</v>
      </c>
      <c r="M15" s="55">
        <f t="shared" si="1"/>
        <v>28089600</v>
      </c>
      <c r="N15" s="55">
        <f t="shared" si="2"/>
        <v>8870400</v>
      </c>
    </row>
    <row r="16" spans="1:14" ht="31" x14ac:dyDescent="0.35">
      <c r="A16" s="10">
        <v>7</v>
      </c>
      <c r="B16" s="11" t="s">
        <v>56</v>
      </c>
      <c r="C16" s="13" t="s">
        <v>57</v>
      </c>
      <c r="D16" s="55"/>
      <c r="E16" s="55"/>
      <c r="F16" s="228">
        <v>476983</v>
      </c>
      <c r="G16" s="228">
        <v>-476982</v>
      </c>
      <c r="H16" s="229">
        <v>1</v>
      </c>
      <c r="I16" s="55">
        <v>50</v>
      </c>
      <c r="J16" s="55">
        <v>10</v>
      </c>
      <c r="K16" s="55">
        <f t="shared" si="0"/>
        <v>40</v>
      </c>
      <c r="L16" s="55">
        <f>38900*1200</f>
        <v>46680000</v>
      </c>
      <c r="M16" s="55">
        <f t="shared" si="1"/>
        <v>35476800</v>
      </c>
      <c r="N16" s="55">
        <f t="shared" si="2"/>
        <v>11203200</v>
      </c>
    </row>
    <row r="17" spans="1:14" ht="31" x14ac:dyDescent="0.35">
      <c r="A17" s="10">
        <v>8</v>
      </c>
      <c r="B17" s="11" t="s">
        <v>58</v>
      </c>
      <c r="C17" s="13" t="s">
        <v>59</v>
      </c>
      <c r="D17" s="55"/>
      <c r="E17" s="55"/>
      <c r="F17" s="228">
        <v>357910</v>
      </c>
      <c r="G17" s="228">
        <v>-357909</v>
      </c>
      <c r="H17" s="229">
        <v>1</v>
      </c>
      <c r="I17" s="55">
        <v>50</v>
      </c>
      <c r="J17" s="55">
        <v>10</v>
      </c>
      <c r="K17" s="55">
        <f t="shared" si="0"/>
        <v>40</v>
      </c>
      <c r="L17" s="55">
        <f>28500*1200</f>
        <v>34200000</v>
      </c>
      <c r="M17" s="55">
        <f t="shared" si="1"/>
        <v>25992000</v>
      </c>
      <c r="N17" s="55">
        <f t="shared" si="2"/>
        <v>8208000</v>
      </c>
    </row>
    <row r="18" spans="1:14" ht="31" x14ac:dyDescent="0.35">
      <c r="A18" s="10">
        <v>9</v>
      </c>
      <c r="B18" s="11" t="s">
        <v>60</v>
      </c>
      <c r="C18" s="13" t="s">
        <v>61</v>
      </c>
      <c r="D18" s="55"/>
      <c r="E18" s="55"/>
      <c r="F18" s="228">
        <v>937545</v>
      </c>
      <c r="G18" s="228">
        <v>-937544</v>
      </c>
      <c r="H18" s="229">
        <v>1</v>
      </c>
      <c r="I18" s="55">
        <v>50</v>
      </c>
      <c r="J18" s="55">
        <v>10</v>
      </c>
      <c r="K18" s="55">
        <f t="shared" si="0"/>
        <v>40</v>
      </c>
      <c r="L18" s="55">
        <f>18200*1200</f>
        <v>21840000</v>
      </c>
      <c r="M18" s="55">
        <f t="shared" si="1"/>
        <v>16598400</v>
      </c>
      <c r="N18" s="55">
        <f t="shared" si="2"/>
        <v>5241600</v>
      </c>
    </row>
    <row r="19" spans="1:14" ht="29" x14ac:dyDescent="0.35">
      <c r="A19" s="10">
        <v>10</v>
      </c>
      <c r="B19" s="23" t="s">
        <v>62</v>
      </c>
      <c r="C19" s="24"/>
      <c r="D19" s="55"/>
      <c r="E19" s="55"/>
      <c r="F19" s="225">
        <v>49144714.359999999</v>
      </c>
      <c r="G19" s="225">
        <v>-1999808</v>
      </c>
      <c r="H19" s="225">
        <v>47144906.359999999</v>
      </c>
      <c r="I19" s="55"/>
      <c r="J19" s="55"/>
      <c r="K19" s="55"/>
      <c r="L19" s="80">
        <v>54175276</v>
      </c>
      <c r="M19" s="80">
        <v>3859988</v>
      </c>
      <c r="N19" s="80">
        <v>50315287</v>
      </c>
    </row>
    <row r="20" spans="1:14" ht="29" x14ac:dyDescent="0.35">
      <c r="A20" s="10">
        <v>11</v>
      </c>
      <c r="B20" s="23" t="s">
        <v>63</v>
      </c>
      <c r="C20" s="24"/>
      <c r="D20" s="55"/>
      <c r="E20" s="55"/>
      <c r="F20" s="230">
        <v>552251382.20000005</v>
      </c>
      <c r="G20" s="230">
        <v>-61670627</v>
      </c>
      <c r="H20" s="230">
        <v>490580755.19999999</v>
      </c>
      <c r="I20" s="55"/>
      <c r="J20" s="55"/>
      <c r="K20" s="55"/>
      <c r="L20" s="231">
        <v>925930461</v>
      </c>
      <c r="M20" s="231">
        <v>197917636</v>
      </c>
      <c r="N20" s="231">
        <v>728012825</v>
      </c>
    </row>
    <row r="21" spans="1:14" ht="43.5" x14ac:dyDescent="0.35">
      <c r="A21" s="10">
        <v>12</v>
      </c>
      <c r="B21" s="23" t="s">
        <v>64</v>
      </c>
      <c r="C21" s="24"/>
      <c r="D21" s="55"/>
      <c r="E21" s="55"/>
      <c r="F21" s="227">
        <v>32363534.640000001</v>
      </c>
      <c r="G21" s="227">
        <v>-30688356.640000001</v>
      </c>
      <c r="H21" s="227">
        <v>1675178</v>
      </c>
      <c r="I21" s="55"/>
      <c r="J21" s="55"/>
      <c r="K21" s="55"/>
      <c r="L21" s="227">
        <v>286999498</v>
      </c>
      <c r="M21" s="227">
        <v>20639478</v>
      </c>
      <c r="N21" s="227">
        <v>26522544</v>
      </c>
    </row>
    <row r="22" spans="1:14" ht="15.5" x14ac:dyDescent="0.35">
      <c r="A22" s="677" t="s">
        <v>65</v>
      </c>
      <c r="B22" s="677"/>
      <c r="C22" s="677"/>
      <c r="D22" s="677"/>
      <c r="E22" s="677"/>
      <c r="F22" s="677"/>
      <c r="G22" s="677"/>
      <c r="H22" s="677"/>
      <c r="I22" s="677"/>
      <c r="J22" s="677"/>
      <c r="K22" s="677"/>
      <c r="L22" s="677"/>
      <c r="M22" s="677"/>
      <c r="N22" s="677"/>
    </row>
    <row r="23" spans="1:14" ht="31" x14ac:dyDescent="0.35">
      <c r="A23" s="10">
        <v>13</v>
      </c>
      <c r="B23" s="11" t="s">
        <v>66</v>
      </c>
      <c r="C23" s="13" t="s">
        <v>67</v>
      </c>
      <c r="D23" s="55"/>
      <c r="E23" s="55"/>
      <c r="F23" s="55">
        <v>0</v>
      </c>
      <c r="G23" s="55">
        <v>0</v>
      </c>
      <c r="H23" s="55">
        <v>0</v>
      </c>
      <c r="I23" s="55">
        <v>50</v>
      </c>
      <c r="J23" s="55">
        <v>45</v>
      </c>
      <c r="K23" s="55">
        <f>+I23-J23</f>
        <v>5</v>
      </c>
      <c r="L23" s="55">
        <f>48420*1500</f>
        <v>72630000</v>
      </c>
      <c r="M23" s="55">
        <f>+(L23*95/100)*K23/I23</f>
        <v>6899850</v>
      </c>
      <c r="N23" s="55">
        <f>+L23-M23</f>
        <v>65730150</v>
      </c>
    </row>
    <row r="24" spans="1:14" ht="31" x14ac:dyDescent="0.35">
      <c r="A24" s="10">
        <v>14</v>
      </c>
      <c r="B24" s="11" t="s">
        <v>68</v>
      </c>
      <c r="C24" s="13" t="s">
        <v>69</v>
      </c>
      <c r="D24" s="55"/>
      <c r="E24" s="55"/>
      <c r="F24" s="55">
        <v>0</v>
      </c>
      <c r="G24" s="55">
        <v>0</v>
      </c>
      <c r="H24" s="55">
        <v>0</v>
      </c>
      <c r="I24" s="55">
        <v>50</v>
      </c>
      <c r="J24" s="55">
        <v>45</v>
      </c>
      <c r="K24" s="55">
        <f>+I24-J24</f>
        <v>5</v>
      </c>
      <c r="L24" s="55">
        <f>16140*1500</f>
        <v>24210000</v>
      </c>
      <c r="M24" s="55">
        <f>+(L24*95/100)*K24/I24</f>
        <v>2299950</v>
      </c>
      <c r="N24" s="55">
        <f>+L24-M24</f>
        <v>21910050</v>
      </c>
    </row>
    <row r="25" spans="1:14" x14ac:dyDescent="0.35">
      <c r="A25" s="10">
        <v>15</v>
      </c>
      <c r="B25" s="23" t="s">
        <v>70</v>
      </c>
      <c r="C25" s="24"/>
      <c r="D25" s="55"/>
      <c r="E25" s="55"/>
      <c r="F25" s="225">
        <v>436728707.77999997</v>
      </c>
      <c r="G25" s="225">
        <v>-148690722</v>
      </c>
      <c r="H25" s="225">
        <v>288037985.77999997</v>
      </c>
      <c r="I25" s="225"/>
      <c r="J25" s="225"/>
      <c r="K25" s="225"/>
      <c r="L25" s="225">
        <v>1025873622</v>
      </c>
      <c r="M25" s="225">
        <v>360594964</v>
      </c>
      <c r="N25" s="225">
        <v>665278658</v>
      </c>
    </row>
    <row r="26" spans="1:14" x14ac:dyDescent="0.35">
      <c r="A26" s="10">
        <v>16</v>
      </c>
      <c r="B26" s="23" t="s">
        <v>71</v>
      </c>
      <c r="C26" s="24"/>
      <c r="D26" s="55"/>
      <c r="E26" s="55"/>
      <c r="F26" s="55">
        <v>0</v>
      </c>
      <c r="G26" s="55">
        <v>0</v>
      </c>
      <c r="H26" s="55">
        <v>0</v>
      </c>
      <c r="I26" s="55"/>
      <c r="J26" s="55"/>
      <c r="K26" s="55"/>
      <c r="L26" s="55">
        <v>0</v>
      </c>
      <c r="M26" s="55">
        <v>0</v>
      </c>
      <c r="N26" s="55">
        <v>0</v>
      </c>
    </row>
    <row r="27" spans="1:14" ht="15.5" x14ac:dyDescent="0.35">
      <c r="A27" s="677" t="s">
        <v>158</v>
      </c>
      <c r="B27" s="677"/>
      <c r="C27" s="677"/>
      <c r="D27" s="677"/>
      <c r="E27" s="677"/>
      <c r="F27" s="677"/>
      <c r="G27" s="677"/>
      <c r="H27" s="677"/>
      <c r="I27" s="677"/>
      <c r="J27" s="677"/>
      <c r="K27" s="677"/>
      <c r="L27" s="677"/>
      <c r="M27" s="677"/>
      <c r="N27" s="677"/>
    </row>
    <row r="28" spans="1:14" ht="31" x14ac:dyDescent="0.35">
      <c r="A28" s="10">
        <v>1</v>
      </c>
      <c r="B28" s="23" t="s">
        <v>72</v>
      </c>
      <c r="C28" s="13" t="s">
        <v>74</v>
      </c>
      <c r="D28" s="55"/>
      <c r="E28" s="55"/>
      <c r="F28" s="225">
        <v>3514332.45</v>
      </c>
      <c r="G28" s="225">
        <v>-3501017.45</v>
      </c>
      <c r="H28" s="225">
        <v>13315</v>
      </c>
      <c r="I28" s="225">
        <v>50</v>
      </c>
      <c r="J28" s="225">
        <v>50</v>
      </c>
      <c r="K28" s="225">
        <v>0</v>
      </c>
      <c r="L28" s="225">
        <f>25520*1800</f>
        <v>45936000</v>
      </c>
      <c r="M28" s="225">
        <f t="shared" ref="M28:M33" si="3">+(L28*95/100)*K28/I28</f>
        <v>0</v>
      </c>
      <c r="N28" s="225">
        <f>L28*5%</f>
        <v>2296800</v>
      </c>
    </row>
    <row r="29" spans="1:14" ht="31" x14ac:dyDescent="0.35">
      <c r="A29" s="10">
        <v>2</v>
      </c>
      <c r="B29" s="11" t="s">
        <v>75</v>
      </c>
      <c r="C29" s="13" t="s">
        <v>76</v>
      </c>
      <c r="D29" s="55"/>
      <c r="E29" s="55"/>
      <c r="F29" s="225">
        <v>61298199.149999999</v>
      </c>
      <c r="G29" s="225">
        <v>-31553351</v>
      </c>
      <c r="H29" s="225">
        <v>29744848.150000002</v>
      </c>
      <c r="I29" s="225">
        <v>50</v>
      </c>
      <c r="J29" s="225">
        <f>+I29-K29</f>
        <v>30</v>
      </c>
      <c r="K29" s="225">
        <v>20</v>
      </c>
      <c r="L29" s="225">
        <f>57320*2200</f>
        <v>126104000</v>
      </c>
      <c r="M29" s="225">
        <f t="shared" si="3"/>
        <v>47919520</v>
      </c>
      <c r="N29" s="225">
        <f>+L29-M29</f>
        <v>78184480</v>
      </c>
    </row>
    <row r="30" spans="1:14" ht="46.5" x14ac:dyDescent="0.35">
      <c r="A30" s="719">
        <v>3</v>
      </c>
      <c r="B30" s="720" t="s">
        <v>620</v>
      </c>
      <c r="C30" s="721" t="s">
        <v>78</v>
      </c>
      <c r="D30" s="722"/>
      <c r="E30" s="722"/>
      <c r="F30" s="723">
        <v>2561884.81</v>
      </c>
      <c r="G30" s="723">
        <v>-868548</v>
      </c>
      <c r="H30" s="723">
        <v>1693336.81</v>
      </c>
      <c r="I30" s="723">
        <v>50</v>
      </c>
      <c r="J30" s="723">
        <v>50</v>
      </c>
      <c r="K30" s="723">
        <v>0</v>
      </c>
      <c r="L30" s="723">
        <f>19700*1800</f>
        <v>35460000</v>
      </c>
      <c r="M30" s="723">
        <f t="shared" si="3"/>
        <v>0</v>
      </c>
      <c r="N30" s="723">
        <f>L30*5%</f>
        <v>1773000</v>
      </c>
    </row>
    <row r="31" spans="1:14" ht="43.5" x14ac:dyDescent="0.35">
      <c r="A31" s="719">
        <v>4</v>
      </c>
      <c r="B31" s="724" t="s">
        <v>621</v>
      </c>
      <c r="C31" s="721" t="s">
        <v>81</v>
      </c>
      <c r="D31" s="722"/>
      <c r="E31" s="722"/>
      <c r="F31" s="723">
        <v>1012567</v>
      </c>
      <c r="G31" s="723">
        <v>-835373</v>
      </c>
      <c r="H31" s="723">
        <v>177194</v>
      </c>
      <c r="I31" s="723">
        <v>50</v>
      </c>
      <c r="J31" s="723">
        <f>+I31-K31</f>
        <v>15</v>
      </c>
      <c r="K31" s="723">
        <v>35</v>
      </c>
      <c r="L31" s="723">
        <f>16500*1800</f>
        <v>29700000</v>
      </c>
      <c r="M31" s="723">
        <f t="shared" si="3"/>
        <v>19750500</v>
      </c>
      <c r="N31" s="723">
        <f>+L31-M31</f>
        <v>9949500</v>
      </c>
    </row>
    <row r="32" spans="1:14" ht="31" x14ac:dyDescent="0.35">
      <c r="A32" s="10">
        <v>5</v>
      </c>
      <c r="B32" s="23" t="s">
        <v>82</v>
      </c>
      <c r="C32" s="13" t="s">
        <v>83</v>
      </c>
      <c r="D32" s="55"/>
      <c r="E32" s="55"/>
      <c r="F32" s="225">
        <v>447061</v>
      </c>
      <c r="G32" s="225">
        <v>-234677</v>
      </c>
      <c r="H32" s="225">
        <v>212384</v>
      </c>
      <c r="I32" s="225">
        <v>50</v>
      </c>
      <c r="J32" s="225">
        <f>+I32-K32</f>
        <v>15</v>
      </c>
      <c r="K32" s="225">
        <v>35</v>
      </c>
      <c r="L32" s="225">
        <f>13850*1800</f>
        <v>24930000</v>
      </c>
      <c r="M32" s="225">
        <f t="shared" si="3"/>
        <v>16578450</v>
      </c>
      <c r="N32" s="225">
        <f>+L32-M32</f>
        <v>8351550</v>
      </c>
    </row>
    <row r="33" spans="1:14" ht="31" x14ac:dyDescent="0.35">
      <c r="A33" s="10">
        <v>6</v>
      </c>
      <c r="B33" s="23" t="s">
        <v>84</v>
      </c>
      <c r="C33" s="13" t="s">
        <v>85</v>
      </c>
      <c r="D33" s="55"/>
      <c r="E33" s="55"/>
      <c r="F33" s="225">
        <v>16031067.51</v>
      </c>
      <c r="G33" s="225">
        <v>-2674283</v>
      </c>
      <c r="H33" s="225">
        <v>13356784.51</v>
      </c>
      <c r="I33" s="225">
        <v>50</v>
      </c>
      <c r="J33" s="225">
        <f>+I33-K33</f>
        <v>40</v>
      </c>
      <c r="K33" s="225">
        <v>10</v>
      </c>
      <c r="L33" s="225">
        <f>36630*1800</f>
        <v>65934000</v>
      </c>
      <c r="M33" s="225">
        <f t="shared" si="3"/>
        <v>12527460</v>
      </c>
      <c r="N33" s="225">
        <f>+L33-M33</f>
        <v>53406540</v>
      </c>
    </row>
    <row r="34" spans="1:14" ht="31" x14ac:dyDescent="0.35">
      <c r="A34" s="10">
        <v>7</v>
      </c>
      <c r="B34" s="23" t="s">
        <v>401</v>
      </c>
      <c r="C34" s="13" t="s">
        <v>403</v>
      </c>
      <c r="D34" s="62"/>
      <c r="E34" s="62"/>
      <c r="F34" s="62"/>
      <c r="G34" s="62"/>
      <c r="H34" s="62"/>
      <c r="I34" s="225">
        <v>50</v>
      </c>
      <c r="J34" s="225">
        <v>25</v>
      </c>
      <c r="K34" s="225">
        <f>I34-J34</f>
        <v>25</v>
      </c>
      <c r="L34" s="225">
        <v>74900000</v>
      </c>
      <c r="M34" s="225">
        <f>+(L34*95/100)*K34/I34</f>
        <v>35577500</v>
      </c>
      <c r="N34" s="225">
        <f>+L34-M34</f>
        <v>39322500</v>
      </c>
    </row>
    <row r="35" spans="1:14" x14ac:dyDescent="0.35">
      <c r="A35" s="62" t="s">
        <v>404</v>
      </c>
      <c r="B35" s="62"/>
      <c r="C35" s="62"/>
      <c r="D35" s="62"/>
      <c r="E35" s="62"/>
      <c r="F35" s="62"/>
      <c r="G35" s="62"/>
      <c r="H35" s="62"/>
      <c r="I35" s="62"/>
      <c r="J35" s="62"/>
      <c r="K35" s="62"/>
      <c r="L35" s="62"/>
      <c r="M35" s="62"/>
      <c r="N35" s="62"/>
    </row>
    <row r="36" spans="1:14" ht="31" x14ac:dyDescent="0.35">
      <c r="A36" s="10">
        <v>8</v>
      </c>
      <c r="B36" s="23" t="s">
        <v>405</v>
      </c>
      <c r="C36" s="13" t="s">
        <v>406</v>
      </c>
      <c r="D36" s="62"/>
      <c r="E36" s="62"/>
      <c r="F36" s="257">
        <v>6697122</v>
      </c>
      <c r="G36" s="62"/>
      <c r="H36" s="62"/>
      <c r="I36" s="225">
        <v>50</v>
      </c>
      <c r="J36" s="225">
        <f>+I36-K36</f>
        <v>47</v>
      </c>
      <c r="K36" s="225">
        <v>3</v>
      </c>
      <c r="L36" s="225">
        <f>F36*110%</f>
        <v>7366834.2000000002</v>
      </c>
      <c r="M36" s="225">
        <f>+(L36*95/100)*K36/I36</f>
        <v>419909.54939999996</v>
      </c>
      <c r="N36" s="225">
        <f>L36-M36</f>
        <v>6946924.6506000003</v>
      </c>
    </row>
    <row r="37" spans="1:14" x14ac:dyDescent="0.35">
      <c r="A37" t="s">
        <v>407</v>
      </c>
    </row>
    <row r="38" spans="1:14" ht="31" x14ac:dyDescent="0.35">
      <c r="A38" s="258">
        <v>9</v>
      </c>
      <c r="B38" s="259" t="s">
        <v>408</v>
      </c>
      <c r="C38" s="256" t="s">
        <v>409</v>
      </c>
      <c r="F38" s="257">
        <v>360200932</v>
      </c>
      <c r="I38" s="255">
        <v>50</v>
      </c>
      <c r="J38" s="260">
        <f>I38-K38</f>
        <v>49</v>
      </c>
      <c r="K38" s="255">
        <v>1</v>
      </c>
      <c r="L38" s="225">
        <f>F38*110%</f>
        <v>396221025.20000005</v>
      </c>
      <c r="M38" s="225">
        <f>+(L38*95/100)*K38/I38</f>
        <v>7528199.4788000016</v>
      </c>
      <c r="N38" s="225">
        <f>L38-M38</f>
        <v>388692825.72120005</v>
      </c>
    </row>
  </sheetData>
  <mergeCells count="8">
    <mergeCell ref="A8:N8"/>
    <mergeCell ref="A12:N12"/>
    <mergeCell ref="A22:N22"/>
    <mergeCell ref="A27:N27"/>
    <mergeCell ref="A3:N3"/>
    <mergeCell ref="A4:N4"/>
    <mergeCell ref="A6:N6"/>
    <mergeCell ref="A7:N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03CCE727110C3408147C8014284C5D6" ma:contentTypeVersion="17" ma:contentTypeDescription="Create a new document." ma:contentTypeScope="" ma:versionID="536e4674fb07f19831fa4594e2ff44f6">
  <xsd:schema xmlns:xsd="http://www.w3.org/2001/XMLSchema" xmlns:xs="http://www.w3.org/2001/XMLSchema" xmlns:p="http://schemas.microsoft.com/office/2006/metadata/properties" xmlns:ns3="95856dec-515c-42f0-8fea-d2defe6c47cf" xmlns:ns4="022eef42-8985-4f53-8a2e-3981e9a3f572" targetNamespace="http://schemas.microsoft.com/office/2006/metadata/properties" ma:root="true" ma:fieldsID="462a8a58c49fa279e56bfe1c1a22918e" ns3:_="" ns4:_="">
    <xsd:import namespace="95856dec-515c-42f0-8fea-d2defe6c47cf"/>
    <xsd:import namespace="022eef42-8985-4f53-8a2e-3981e9a3f57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_activity" minOccurs="0"/>
                <xsd:element ref="ns4:MediaServiceAutoTags" minOccurs="0"/>
                <xsd:element ref="ns4:MediaServiceOCR" minOccurs="0"/>
                <xsd:element ref="ns4:MediaServiceGenerationTime" minOccurs="0"/>
                <xsd:element ref="ns4:MediaServiceEventHashCode" minOccurs="0"/>
                <xsd:element ref="ns4:MediaServiceObjectDetectorVersions" minOccurs="0"/>
                <xsd:element ref="ns4:MediaLengthInSeconds" minOccurs="0"/>
                <xsd:element ref="ns4:MediaServiceDateTaken" minOccurs="0"/>
                <xsd:element ref="ns4:MediaServiceLocation"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856dec-515c-42f0-8fea-d2defe6c47c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2eef42-8985-4f53-8a2e-3981e9a3f57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_activity" ma:index="15" nillable="true" ma:displayName="_activity" ma:hidden="true" ma:internalName="_activity">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022eef42-8985-4f53-8a2e-3981e9a3f57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6AC07E-7C6D-4AE8-874D-41D41FBB59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856dec-515c-42f0-8fea-d2defe6c47cf"/>
    <ds:schemaRef ds:uri="022eef42-8985-4f53-8a2e-3981e9a3f5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0C2BF2-A2D2-418F-B607-10C5B1B61E5B}">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purl.org/dc/elements/1.1/"/>
    <ds:schemaRef ds:uri="022eef42-8985-4f53-8a2e-3981e9a3f572"/>
    <ds:schemaRef ds:uri="http://schemas.openxmlformats.org/package/2006/metadata/core-properties"/>
    <ds:schemaRef ds:uri="95856dec-515c-42f0-8fea-d2defe6c47cf"/>
    <ds:schemaRef ds:uri="http://www.w3.org/XML/1998/namespace"/>
    <ds:schemaRef ds:uri="http://purl.org/dc/dcmitype/"/>
  </ds:schemaRefs>
</ds:datastoreItem>
</file>

<file path=customXml/itemProps3.xml><?xml version="1.0" encoding="utf-8"?>
<ds:datastoreItem xmlns:ds="http://schemas.openxmlformats.org/officeDocument/2006/customXml" ds:itemID="{F210A771-56DE-4FDF-8B68-3984998741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4</vt:i4>
      </vt:variant>
    </vt:vector>
  </HeadingPairs>
  <TitlesOfParts>
    <vt:vector size="21" baseType="lpstr">
      <vt:lpstr>Reduced CSL </vt:lpstr>
      <vt:lpstr>Summary</vt:lpstr>
      <vt:lpstr>2024</vt:lpstr>
      <vt:lpstr>2019-20 hull separately</vt:lpstr>
      <vt:lpstr>2019-20</vt:lpstr>
      <vt:lpstr>Sheet3</vt:lpstr>
      <vt:lpstr>Sheet1</vt:lpstr>
      <vt:lpstr>Annexures</vt:lpstr>
      <vt:lpstr>Buildings</vt:lpstr>
      <vt:lpstr>Marine Dept</vt:lpstr>
      <vt:lpstr>EDP</vt:lpstr>
      <vt:lpstr>Mechanical</vt:lpstr>
      <vt:lpstr>2018-19</vt:lpstr>
      <vt:lpstr>2018-19 ANNEXURES</vt:lpstr>
      <vt:lpstr>Business interuption</vt:lpstr>
      <vt:lpstr>Sheet2</vt:lpstr>
      <vt:lpstr>Changes made</vt:lpstr>
      <vt:lpstr>'2019-20'!Print_Area</vt:lpstr>
      <vt:lpstr>'2024'!Print_Area</vt:lpstr>
      <vt:lpstr>Sheet1!Print_Area</vt:lpstr>
      <vt:lpstr>'2019-20'!Print_Titles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2023-12-20T05:07:38Z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8f1469a-2c2a-4aee-b92b-090d4c5468ff_Enabled">
    <vt:lpwstr>true</vt:lpwstr>
  </property>
  <property fmtid="{D5CDD505-2E9C-101B-9397-08002B2CF9AE}" pid="3" name="MSIP_Label_38f1469a-2c2a-4aee-b92b-090d4c5468ff_SetDate">
    <vt:lpwstr>2023-12-18T06:41:36Z</vt:lpwstr>
  </property>
  <property fmtid="{D5CDD505-2E9C-101B-9397-08002B2CF9AE}" pid="4" name="MSIP_Label_38f1469a-2c2a-4aee-b92b-090d4c5468ff_Method">
    <vt:lpwstr>Standard</vt:lpwstr>
  </property>
  <property fmtid="{D5CDD505-2E9C-101B-9397-08002B2CF9AE}" pid="5" name="MSIP_Label_38f1469a-2c2a-4aee-b92b-090d4c5468ff_Name">
    <vt:lpwstr>Confidential - Unmarked</vt:lpwstr>
  </property>
  <property fmtid="{D5CDD505-2E9C-101B-9397-08002B2CF9AE}" pid="6" name="MSIP_Label_38f1469a-2c2a-4aee-b92b-090d4c5468ff_SiteId">
    <vt:lpwstr>2a6e6092-73e4-4752-b1a5-477a17f5056d</vt:lpwstr>
  </property>
  <property fmtid="{D5CDD505-2E9C-101B-9397-08002B2CF9AE}" pid="7" name="MSIP_Label_38f1469a-2c2a-4aee-b92b-090d4c5468ff_ActionId">
    <vt:lpwstr>cb10c423-8baa-418b-a4b3-7e0c65a3b2fd</vt:lpwstr>
  </property>
  <property fmtid="{D5CDD505-2E9C-101B-9397-08002B2CF9AE}" pid="8" name="MSIP_Label_38f1469a-2c2a-4aee-b92b-090d4c5468ff_ContentBits">
    <vt:lpwstr>0</vt:lpwstr>
  </property>
  <property fmtid="{D5CDD505-2E9C-101B-9397-08002B2CF9AE}" pid="9" name="ContentTypeId">
    <vt:lpwstr>0x010100703CCE727110C3408147C8014284C5D6</vt:lpwstr>
  </property>
</Properties>
</file>